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Moham\Downloads\"/>
    </mc:Choice>
  </mc:AlternateContent>
  <xr:revisionPtr revIDLastSave="0" documentId="13_ncr:1_{3D8212A4-180E-42D3-9C47-4264E29A6897}" xr6:coauthVersionLast="47" xr6:coauthVersionMax="47" xr10:uidLastSave="{00000000-0000-0000-0000-000000000000}"/>
  <bookViews>
    <workbookView xWindow="-105" yWindow="0" windowWidth="25920" windowHeight="20985" activeTab="3" xr2:uid="{00000000-000D-0000-FFFF-FFFF00000000}"/>
  </bookViews>
  <sheets>
    <sheet name="1_Takeoff_Assumptions" sheetId="1" r:id="rId1"/>
    <sheet name="2_GWP_Calculations" sheetId="2" r:id="rId2"/>
    <sheet name="3_Cost_Calculations" sheetId="3" r:id="rId3"/>
    <sheet name="4_Cost_vs_Carbon_Savings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4" l="1"/>
  <c r="F4" i="4"/>
  <c r="F15" i="3"/>
  <c r="D14" i="3"/>
  <c r="G14" i="3" s="1"/>
  <c r="C14" i="3"/>
  <c r="F14" i="3" s="1"/>
  <c r="D13" i="3"/>
  <c r="G13" i="3" s="1"/>
  <c r="C13" i="3"/>
  <c r="F13" i="3" s="1"/>
  <c r="H13" i="3" s="1"/>
  <c r="D9" i="3"/>
  <c r="G9" i="3" s="1"/>
  <c r="C9" i="3"/>
  <c r="F9" i="3" s="1"/>
  <c r="H9" i="3" s="1"/>
  <c r="G8" i="3"/>
  <c r="F8" i="3"/>
  <c r="H8" i="3" s="1"/>
  <c r="D8" i="3"/>
  <c r="C8" i="3"/>
  <c r="K15" i="2"/>
  <c r="D15" i="2"/>
  <c r="C15" i="2"/>
  <c r="A15" i="2"/>
  <c r="K14" i="2"/>
  <c r="F14" i="2"/>
  <c r="H14" i="2" s="1"/>
  <c r="J14" i="2" s="1"/>
  <c r="D14" i="2"/>
  <c r="C14" i="2"/>
  <c r="A14" i="2"/>
  <c r="K13" i="2"/>
  <c r="I13" i="2"/>
  <c r="J13" i="2" s="1"/>
  <c r="H13" i="2"/>
  <c r="F13" i="2"/>
  <c r="D13" i="2"/>
  <c r="C13" i="2"/>
  <c r="A13" i="2"/>
  <c r="K12" i="2"/>
  <c r="I12" i="2"/>
  <c r="H12" i="2"/>
  <c r="J12" i="2" s="1"/>
  <c r="D12" i="2"/>
  <c r="C12" i="2"/>
  <c r="A12" i="2"/>
  <c r="K11" i="2"/>
  <c r="D11" i="2"/>
  <c r="C11" i="2"/>
  <c r="A11" i="2"/>
  <c r="K10" i="2"/>
  <c r="D10" i="2"/>
  <c r="C10" i="2"/>
  <c r="A10" i="2"/>
  <c r="K9" i="2"/>
  <c r="D9" i="2"/>
  <c r="C9" i="2"/>
  <c r="A9" i="2"/>
  <c r="K8" i="2"/>
  <c r="D8" i="2"/>
  <c r="C8" i="2"/>
  <c r="A8" i="2"/>
  <c r="K7" i="2"/>
  <c r="D7" i="2"/>
  <c r="C7" i="2"/>
  <c r="A7" i="2"/>
  <c r="K6" i="2"/>
  <c r="D6" i="2"/>
  <c r="C6" i="2"/>
  <c r="A6" i="2"/>
  <c r="K5" i="2"/>
  <c r="D5" i="2"/>
  <c r="C5" i="2"/>
  <c r="A5" i="2"/>
  <c r="K4" i="2"/>
  <c r="D4" i="2"/>
  <c r="C4" i="2"/>
  <c r="A4" i="2"/>
  <c r="K3" i="2"/>
  <c r="D3" i="2"/>
  <c r="C3" i="2"/>
  <c r="A3" i="2"/>
  <c r="K2" i="2"/>
  <c r="D2" i="2"/>
  <c r="C2" i="2"/>
  <c r="A2" i="2"/>
  <c r="F40" i="1"/>
  <c r="F15" i="2" s="1"/>
  <c r="H15" i="2" s="1"/>
  <c r="J15" i="2" s="1"/>
  <c r="F39" i="1"/>
  <c r="G39" i="1" s="1"/>
  <c r="G14" i="2" s="1"/>
  <c r="I14" i="2" s="1"/>
  <c r="F38" i="1"/>
  <c r="G38" i="1" s="1"/>
  <c r="G13" i="2" s="1"/>
  <c r="F34" i="1"/>
  <c r="G34" i="1" s="1"/>
  <c r="G9" i="2" s="1"/>
  <c r="I9" i="2" s="1"/>
  <c r="G33" i="1"/>
  <c r="G8" i="2" s="1"/>
  <c r="I8" i="2" s="1"/>
  <c r="F33" i="1"/>
  <c r="F8" i="2" s="1"/>
  <c r="H8" i="2" s="1"/>
  <c r="F29" i="1"/>
  <c r="F4" i="2" s="1"/>
  <c r="H4" i="2" s="1"/>
  <c r="B4" i="1"/>
  <c r="G40" i="1" s="1"/>
  <c r="G15" i="2" s="1"/>
  <c r="I15" i="2" s="1"/>
  <c r="H14" i="3" l="1"/>
  <c r="J8" i="2"/>
  <c r="B12" i="1"/>
  <c r="D15" i="3"/>
  <c r="G15" i="3" s="1"/>
  <c r="H15" i="3" s="1"/>
  <c r="C4" i="3"/>
  <c r="F4" i="3" s="1"/>
  <c r="F9" i="2"/>
  <c r="H9" i="2" s="1"/>
  <c r="J9" i="2" s="1"/>
  <c r="B5" i="1"/>
  <c r="B7" i="1" s="1"/>
  <c r="F27" i="1"/>
  <c r="G29" i="1"/>
  <c r="F30" i="1"/>
  <c r="G30" i="1" l="1"/>
  <c r="F5" i="2"/>
  <c r="H5" i="2" s="1"/>
  <c r="C5" i="3"/>
  <c r="F5" i="3" s="1"/>
  <c r="D4" i="3"/>
  <c r="G4" i="3" s="1"/>
  <c r="G4" i="2"/>
  <c r="I4" i="2" s="1"/>
  <c r="J4" i="2" s="1"/>
  <c r="F28" i="1"/>
  <c r="G27" i="1"/>
  <c r="C2" i="3"/>
  <c r="F2" i="3" s="1"/>
  <c r="F2" i="2"/>
  <c r="H2" i="2" s="1"/>
  <c r="B11" i="1"/>
  <c r="B10" i="1"/>
  <c r="H4" i="3"/>
  <c r="D11" i="3"/>
  <c r="G11" i="3" s="1"/>
  <c r="F36" i="1"/>
  <c r="C11" i="3"/>
  <c r="F11" i="3" s="1"/>
  <c r="H11" i="3" s="1"/>
  <c r="F31" i="1" l="1"/>
  <c r="D6" i="3"/>
  <c r="G6" i="3" s="1"/>
  <c r="C6" i="3"/>
  <c r="F6" i="3" s="1"/>
  <c r="H6" i="3" s="1"/>
  <c r="D2" i="3"/>
  <c r="G2" i="3" s="1"/>
  <c r="G2" i="2"/>
  <c r="I2" i="2" s="1"/>
  <c r="J2" i="2" s="1"/>
  <c r="G36" i="1"/>
  <c r="G11" i="2" s="1"/>
  <c r="I11" i="2" s="1"/>
  <c r="F11" i="2"/>
  <c r="H11" i="2" s="1"/>
  <c r="J11" i="2" s="1"/>
  <c r="D12" i="3"/>
  <c r="G12" i="3" s="1"/>
  <c r="D7" i="3"/>
  <c r="G7" i="3" s="1"/>
  <c r="F35" i="1"/>
  <c r="C12" i="3"/>
  <c r="F12" i="3" s="1"/>
  <c r="H12" i="3" s="1"/>
  <c r="D10" i="3"/>
  <c r="G10" i="3" s="1"/>
  <c r="C7" i="3"/>
  <c r="F7" i="3" s="1"/>
  <c r="F37" i="1"/>
  <c r="C10" i="3"/>
  <c r="F10" i="3" s="1"/>
  <c r="F32" i="1"/>
  <c r="B19" i="3"/>
  <c r="H2" i="3"/>
  <c r="G28" i="1"/>
  <c r="C3" i="3"/>
  <c r="F3" i="3" s="1"/>
  <c r="F3" i="2"/>
  <c r="H3" i="2" s="1"/>
  <c r="G5" i="2"/>
  <c r="I5" i="2" s="1"/>
  <c r="J5" i="2" s="1"/>
  <c r="D5" i="3"/>
  <c r="G5" i="3" s="1"/>
  <c r="H5" i="3" s="1"/>
  <c r="H7" i="3" l="1"/>
  <c r="H10" i="3"/>
  <c r="F12" i="2"/>
  <c r="G37" i="1"/>
  <c r="G12" i="2" s="1"/>
  <c r="F7" i="2"/>
  <c r="H7" i="2" s="1"/>
  <c r="G32" i="1"/>
  <c r="G7" i="2" s="1"/>
  <c r="I7" i="2" s="1"/>
  <c r="F10" i="2"/>
  <c r="H10" i="2" s="1"/>
  <c r="G35" i="1"/>
  <c r="G10" i="2" s="1"/>
  <c r="I10" i="2" s="1"/>
  <c r="E11" i="4"/>
  <c r="B5" i="4"/>
  <c r="D3" i="3"/>
  <c r="G3" i="3" s="1"/>
  <c r="H3" i="3" s="1"/>
  <c r="G3" i="2"/>
  <c r="I3" i="2" s="1"/>
  <c r="J3" i="2" s="1"/>
  <c r="G31" i="1"/>
  <c r="G6" i="2" s="1"/>
  <c r="I6" i="2" s="1"/>
  <c r="F6" i="2"/>
  <c r="H6" i="2" s="1"/>
  <c r="B20" i="2" l="1"/>
  <c r="J6" i="2"/>
  <c r="B19" i="2"/>
  <c r="B20" i="3"/>
  <c r="J10" i="2"/>
  <c r="J7" i="2"/>
  <c r="E12" i="4" l="1"/>
  <c r="C5" i="4"/>
  <c r="B21" i="3"/>
  <c r="B11" i="4"/>
  <c r="B21" i="2"/>
  <c r="B4" i="4"/>
  <c r="B12" i="4"/>
  <c r="C4" i="4"/>
  <c r="E18" i="4" l="1"/>
  <c r="B22" i="2"/>
  <c r="F6" i="4"/>
  <c r="B6" i="4"/>
  <c r="D4" i="4"/>
  <c r="D5" i="4"/>
  <c r="B22" i="3"/>
  <c r="B18" i="4" l="1"/>
  <c r="E4" i="4"/>
  <c r="B19" i="4"/>
  <c r="E5" i="4"/>
</calcChain>
</file>

<file path=xl/sharedStrings.xml><?xml version="1.0" encoding="utf-8"?>
<sst xmlns="http://schemas.openxmlformats.org/spreadsheetml/2006/main" count="305" uniqueCount="209">
  <si>
    <t>Project Assumptions</t>
  </si>
  <si>
    <t>Total gross floor area</t>
  </si>
  <si>
    <t>ft²</t>
  </si>
  <si>
    <t>Number of stories</t>
  </si>
  <si>
    <t>stories</t>
  </si>
  <si>
    <t>Floor plate / footprint</t>
  </si>
  <si>
    <t>Total GFA / stories</t>
  </si>
  <si>
    <t>Approximate square-building perimeter</t>
  </si>
  <si>
    <t>ft</t>
  </si>
  <si>
    <t>Square floor plate assumption</t>
  </si>
  <si>
    <t>Floor-to-floor height</t>
  </si>
  <si>
    <t>Simplified mid-rise assumption</t>
  </si>
  <si>
    <t>Total façade area</t>
  </si>
  <si>
    <t>Perimeter × height × stories</t>
  </si>
  <si>
    <t>Glazing ratio</t>
  </si>
  <si>
    <t>% façade</t>
  </si>
  <si>
    <t>Opaque façade ratio</t>
  </si>
  <si>
    <t>Glazing area</t>
  </si>
  <si>
    <t>Opaque façade area</t>
  </si>
  <si>
    <t>Roof area</t>
  </si>
  <si>
    <t>Flat roof equals footprint</t>
  </si>
  <si>
    <t>Structural concrete intensity</t>
  </si>
  <si>
    <t>m³/m² GFA</t>
  </si>
  <si>
    <t>Conceptual mid-rise RC superstructure intensity</t>
  </si>
  <si>
    <t>Foundation concrete intensity</t>
  </si>
  <si>
    <t>m³/m² footprint</t>
  </si>
  <si>
    <t>Conceptual shallow/mat foundation intensity</t>
  </si>
  <si>
    <t>Foundation rebar density</t>
  </si>
  <si>
    <t>kg/m³ concrete</t>
  </si>
  <si>
    <t>Conceptual reinforcement density</t>
  </si>
  <si>
    <t>Structural rebar density</t>
  </si>
  <si>
    <t>Interior partition/framing multiplier</t>
  </si>
  <si>
    <t>ft² wall / ft² GFA</t>
  </si>
  <si>
    <t>Simplified interior build-out</t>
  </si>
  <si>
    <t>Drywall surface multiplier</t>
  </si>
  <si>
    <t>ft² drywall / ft² GFA</t>
  </si>
  <si>
    <t>Walls + ceilings; both sides of partitions represented</t>
  </si>
  <si>
    <t>Mineral wool RSI</t>
  </si>
  <si>
    <t>RSI</t>
  </si>
  <si>
    <t>Approx. R-15 wall insulation; CLF unit is m²@RSI-1</t>
  </si>
  <si>
    <t>CFRP strengthening coverage</t>
  </si>
  <si>
    <t>% footprint</t>
  </si>
  <si>
    <t>Circular scenario: reinforcing 20% of existing foundation/structural surface</t>
  </si>
  <si>
    <t>Glazing replacement in circular scenario</t>
  </si>
  <si>
    <t>% glazing</t>
  </si>
  <si>
    <t>Adaptive reuse: 50% glazing replaced/modified</t>
  </si>
  <si>
    <t>Opaque cladding replacement in circular scenario</t>
  </si>
  <si>
    <t>% opaque façade</t>
  </si>
  <si>
    <t>Adaptive reuse: façade retained with targeted repairs</t>
  </si>
  <si>
    <t>Structure/foundation replacement in circular scenario</t>
  </si>
  <si>
    <t>%</t>
  </si>
  <si>
    <t>Foundation/structure retained; CFRP added as strengthening layer</t>
  </si>
  <si>
    <t>Material Category</t>
  </si>
  <si>
    <t>Scenario Role</t>
  </si>
  <si>
    <t>Specific CLF/EPD Material Mapping</t>
  </si>
  <si>
    <t>Included in GWP?</t>
  </si>
  <si>
    <t>Declared Unit for GWP</t>
  </si>
  <si>
    <t>Non-Circular Qty (Declared Unit)</t>
  </si>
  <si>
    <t>Circular Qty (Declared Unit)</t>
  </si>
  <si>
    <t>Quantity Logic / Assumption</t>
  </si>
  <si>
    <t>Source / Note</t>
  </si>
  <si>
    <t>Concrete foundation</t>
  </si>
  <si>
    <t>Baseline foundation material</t>
  </si>
  <si>
    <t>Ready-mixed concrete, USA National, 4000 psi</t>
  </si>
  <si>
    <t>Yes</t>
  </si>
  <si>
    <t>m³</t>
  </si>
  <si>
    <t>Footprint converted to m² × 0.30 m³/m². Circular scenario retains existing foundation.</t>
  </si>
  <si>
    <t>CLF 2025 Table ES.2; National 4000 psi = 308 kg CO₂e/m³</t>
  </si>
  <si>
    <t>Foundation rebar</t>
  </si>
  <si>
    <t>Baseline foundation reinforcement</t>
  </si>
  <si>
    <t>Rebar, unfabricated</t>
  </si>
  <si>
    <t>metric ton</t>
  </si>
  <si>
    <t>Foundation concrete × 100 kg/m³, converted to metric tons. Circular scenario retains foundation reinforcement.</t>
  </si>
  <si>
    <t>CLF 2025 Table ES.1; unfabricated rebar = 753 kg CO₂e/metric ton</t>
  </si>
  <si>
    <t>Structural concrete</t>
  </si>
  <si>
    <t>Baseline superstructure material</t>
  </si>
  <si>
    <t>Ready-mixed concrete, USA National, 5000 psi</t>
  </si>
  <si>
    <t>GFA converted to m² × 0.15 m³/m². Circular scenario retains existing structural concrete.</t>
  </si>
  <si>
    <t>CLF 2025 Table ES.2; National 5000 psi = 365 kg CO₂e/m³</t>
  </si>
  <si>
    <t>Structural rebar</t>
  </si>
  <si>
    <t>Baseline superstructure reinforcement</t>
  </si>
  <si>
    <t>Structural concrete × 110 kg/m³, converted to metric tons. Circular scenario retains reinforcement.</t>
  </si>
  <si>
    <t>Glazing</t>
  </si>
  <si>
    <t>Openings</t>
  </si>
  <si>
    <t>Flat glass</t>
  </si>
  <si>
    <t>Glazing area converted to m² × assumed 15 kg/m² for 6 mm flat glass. Circular replaces 50%.</t>
  </si>
  <si>
    <t>CLF 2025 Table ES.1; flat glass = 1,430 kg CO₂e/metric ton</t>
  </si>
  <si>
    <t>Exterior envelope / cladding</t>
  </si>
  <si>
    <t>Opaque façade</t>
  </si>
  <si>
    <t>MCM panel, aluminum</t>
  </si>
  <si>
    <t>100 m²</t>
  </si>
  <si>
    <t>Opaque façade area converted to m² and divided by CLF declared unit. Circular scenario repairs/replaces 10%.</t>
  </si>
  <si>
    <t>CLF 2025 Table ES.1; MCM panel, aluminum = 1,530 kg CO₂e/100 m²</t>
  </si>
  <si>
    <t>Interior framing</t>
  </si>
  <si>
    <t>Interior partitions</t>
  </si>
  <si>
    <t>Cold-formed steel framing</t>
  </si>
  <si>
    <t>Partition wall area × 1.2 lb/ft² steel framing, converted to metric tons. Circular assumes full interior reframing.</t>
  </si>
  <si>
    <t>CLF 2025 Table ES.1; cold-formed steel framing = 2,440 kg CO₂e/metric ton</t>
  </si>
  <si>
    <t>Drywall</t>
  </si>
  <si>
    <t>Interior partitions and ceilings</t>
  </si>
  <si>
    <t>Gypsum board, 5/8 in</t>
  </si>
  <si>
    <t>1000 ft²</t>
  </si>
  <si>
    <t>Drywall surface multiplier × GFA, divided by 1,000 ft². Circular assumes full new interior drywall.</t>
  </si>
  <si>
    <t>CLF 2025 Table ES.1; gypsum board 5/8 in = 277 kg CO₂e/1000 ft²</t>
  </si>
  <si>
    <t>Insulation</t>
  </si>
  <si>
    <t>Opaque façade thermal layer</t>
  </si>
  <si>
    <t>Heavy density mineral wool board</t>
  </si>
  <si>
    <t>m²@RSI-1</t>
  </si>
  <si>
    <t>Opaque façade area converted to m² × assumed RSI-2.64 (approx. R-15).</t>
  </si>
  <si>
    <t>CLF 2025 Table ES.1; heavy density mineral wool board = 6.82 kg CO₂e/m²@RSI-1</t>
  </si>
  <si>
    <t>Roof</t>
  </si>
  <si>
    <t>Flat low-slope roofing</t>
  </si>
  <si>
    <t>SBS-modified bitumen roofing membrane, hot asphalt installation</t>
  </si>
  <si>
    <t>m²</t>
  </si>
  <si>
    <t>Flat roof area equals footprint and is converted to m². Circular assumes roof replacement.</t>
  </si>
  <si>
    <t>CLF 2025 Table ES.1; SBS-modified bitumen roofing membrane, hot asphalt = 5.81 kg CO₂e/m²</t>
  </si>
  <si>
    <t>Exterior paint</t>
  </si>
  <si>
    <t>Coatings / finish</t>
  </si>
  <si>
    <t>No CLF baseline used</t>
  </si>
  <si>
    <t>No</t>
  </si>
  <si>
    <t>Applied to opaque façade area. Excluded from GWP due to no selected CLF baseline.</t>
  </si>
  <si>
    <t>Cost only; excluded from embodied carbon totals</t>
  </si>
  <si>
    <t>Interior paint</t>
  </si>
  <si>
    <t>Applied to estimated drywall surface area. Excluded from GWP due to no selected CLF baseline.</t>
  </si>
  <si>
    <t>Flooring</t>
  </si>
  <si>
    <t>Interior floor finish</t>
  </si>
  <si>
    <t>Luxury vinyl tile (LVT), glue down</t>
  </si>
  <si>
    <t>Total GFA converted to m². Circular assumes full new flooring.</t>
  </si>
  <si>
    <t>CLF 2025 Table ES.1; glue-down LVT = 9.78 kg CO₂e/m²</t>
  </si>
  <si>
    <t>CFRP strengthening</t>
  </si>
  <si>
    <t>Circular structural reinforcement</t>
  </si>
  <si>
    <t>SEICO average reinforcement material for FRP composite systems (EPD)</t>
  </si>
  <si>
    <t>Yes - EPD</t>
  </si>
  <si>
    <t>Circular scenario strengthening layer applied to 20% of footprint area. Not from CLF; included separately from CLF-only rows.</t>
  </si>
  <si>
    <t>EPD-IES-0026633:001; A1-A3 GWP = 52.1 kg CO₂e/m²</t>
  </si>
  <si>
    <t>Source Type</t>
  </si>
  <si>
    <t>Specific Material / Product</t>
  </si>
  <si>
    <t>Declared Unit</t>
  </si>
  <si>
    <t>GWP Factor (kg CO₂e / declared unit)</t>
  </si>
  <si>
    <t>Non-Circular Qty</t>
  </si>
  <si>
    <t>Circular Qty</t>
  </si>
  <si>
    <t>Non-Circular GWP (kg CO₂e)</t>
  </si>
  <si>
    <t>Circular GWP (kg CO₂e)</t>
  </si>
  <si>
    <t>Carbon Savings (kg CO₂e)</t>
  </si>
  <si>
    <t>Notes / Source</t>
  </si>
  <si>
    <t>CLF</t>
  </si>
  <si>
    <t>Excluded</t>
  </si>
  <si>
    <t>EPD</t>
  </si>
  <si>
    <t>Summary Metric</t>
  </si>
  <si>
    <t>Value</t>
  </si>
  <si>
    <t>Unit</t>
  </si>
  <si>
    <t>Formula/Note</t>
  </si>
  <si>
    <t>Total non-circular GWP</t>
  </si>
  <si>
    <t>kg CO₂e</t>
  </si>
  <si>
    <t>Includes CLF rows + CFRP EPD row; excludes paint</t>
  </si>
  <si>
    <t>Total circular GWP</t>
  </si>
  <si>
    <t>Total carbon savings</t>
  </si>
  <si>
    <t>Non-circular minus circular</t>
  </si>
  <si>
    <t>Percent reduction</t>
  </si>
  <si>
    <t>Carbon savings / non-circular GWP</t>
  </si>
  <si>
    <t>Cost Unit</t>
  </si>
  <si>
    <t>Non-Circular Cost Qty</t>
  </si>
  <si>
    <t>Circular Cost Qty</t>
  </si>
  <si>
    <t>Unit Cost ($/Cost Unit)</t>
  </si>
  <si>
    <t>Non-Circular Cost</t>
  </si>
  <si>
    <t>Circular Cost</t>
  </si>
  <si>
    <t>Cost Savings</t>
  </si>
  <si>
    <t>Pricing Justification / Source</t>
  </si>
  <si>
    <t>Conceptual installed concrete cost; replace with RSMeans/local quote. RSMeans is a recognized North American construction cost database: https://www.rsmeansonline.com/</t>
  </si>
  <si>
    <t>Conceptual installed reinforcing steel allowance; replace with RSMeans/local quote: https://www.rsmeansonline.com/</t>
  </si>
  <si>
    <t>Conceptual installed concrete cost; replace with RSMeans/local quote: https://www.rsmeansonline.com/</t>
  </si>
  <si>
    <t>RSMeans 2025; https://www.rsmeans.com | Curtain wall system pricing used instead of punched windows</t>
  </si>
  <si>
    <t>Order-of-magnitude MCM rainscreen allowance; verify with contractor/vendor quote.</t>
  </si>
  <si>
    <t>ft² wall area</t>
  </si>
  <si>
    <t>Conceptual metal stud framing allowance; replace with RSMeans/local quote: https://www.rsmeansonline.com/</t>
  </si>
  <si>
    <t>ft² surface</t>
  </si>
  <si>
    <t>RSMeans 2025; https://www.rsmeans.com | Includes full installation cost</t>
  </si>
  <si>
    <t>ft² opaque wall</t>
  </si>
  <si>
    <t>Conceptual mineral wool insulation allowance; replace with vendor/local quote.</t>
  </si>
  <si>
    <t>ft² roof</t>
  </si>
  <si>
    <t>Modified bitumen roof sources report installed ranges; example 2025 guide: https://rayproroofing.com/blog/modified-bitumen-roofing-cost-complete-guide/</t>
  </si>
  <si>
    <t>Cost-only line item; excluded from GWP due to no CLF baseline selected.</t>
  </si>
  <si>
    <t>Homewyse lists vinyl tile installation at $9.16–$13.63/ft² in Jan. 2026; midpoint used: https://www.homewyse.com/services/cost_to_install_vinyl_tile_flooring.html</t>
  </si>
  <si>
    <t>ft² applied material</t>
  </si>
  <si>
    <t>Midpoint of $75–$150/ft² stated for CFRP strengthening: https://texasstructuralconcrete.com/resources/what-is-cfrp-strengthening</t>
  </si>
  <si>
    <t>Total non-circular cost</t>
  </si>
  <si>
    <t>USD</t>
  </si>
  <si>
    <t>Baseline full new construction material/system costs</t>
  </si>
  <si>
    <t>Total circular cost</t>
  </si>
  <si>
    <t>Adaptive reuse/retrofit costs including CFRP strengthening</t>
  </si>
  <si>
    <t>Total cost savings</t>
  </si>
  <si>
    <t>Cost savings / non-circular cost</t>
  </si>
  <si>
    <t>Cost vs. Carbon Savings Summary</t>
  </si>
  <si>
    <t>Metric</t>
  </si>
  <si>
    <t>Non-Circular</t>
  </si>
  <si>
    <t>Circular</t>
  </si>
  <si>
    <t>Savings</t>
  </si>
  <si>
    <t>Reduction %</t>
  </si>
  <si>
    <t>Formula Source</t>
  </si>
  <si>
    <t>Total GWP (kg CO₂e)</t>
  </si>
  <si>
    <t>Total Cost ($)</t>
  </si>
  <si>
    <t>kg CO₂e saved per $ saved</t>
  </si>
  <si>
    <t>GWP Chart Data</t>
  </si>
  <si>
    <t>Cost Chart Data</t>
  </si>
  <si>
    <t>Scenario</t>
  </si>
  <si>
    <t>Reduction Chart Data</t>
  </si>
  <si>
    <t>Efficiency Metric</t>
  </si>
  <si>
    <t>Carbon reduction</t>
  </si>
  <si>
    <t>Cost reduction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</si>
</sst>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\$#,##0.00"/>
    <numFmt numFmtId="166" formatCode="\$#,##0"/>
    <numFmt numFmtId="167" formatCode="0.000"/>
  </numFmts>
  <fonts count="7">
    <font>
      <sz val="11"/>
      <name val="Carlito"/>
    </font>
    <font>
      <b/>
      <sz val="11"/>
      <name val="Carlito"/>
    </font>
    <font>
      <b/>
      <sz val="11"/>
      <color rgb="FFFFFFFF"/>
      <name val="Carlito"/>
    </font>
    <font>
      <b/>
      <sz val="11"/>
      <name val="Carlito"/>
    </font>
    <font>
      <b/>
      <sz val="16"/>
      <color rgb="FFFFFFFF"/>
      <name val="Carlito"/>
    </font>
    <font>
      <b/>
      <sz val="11"/>
      <color rgb="FFFFFFFF"/>
      <name val="Carlito"/>
    </font>
    <font>
      <sz val="11"/>
      <color rgb="FF008000"/>
      <name val="Carlito"/>
    </font>
  </fonts>
  <fills count="4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5B9BD5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1F4E78"/>
      </bottom>
      <diagonal/>
    </border>
    <border>
      <left/>
      <right/>
      <top/>
      <bottom style="thin">
        <color rgb="FFD9E2F3"/>
      </bottom>
      <diagonal/>
    </border>
  </borders>
  <cellStyleXfs count="1">
    <xf numFmtId="0" fontId="0" fillId="0" borderId="1"/>
  </cellStyleXfs>
  <cellXfs count="44">
    <xf numFmtId="0" fontId="0" fillId="0" borderId="0" xfId="0" applyBorder="1"/>
    <xf numFmtId="0" fontId="1" fillId="0" borderId="0" xfId="0" applyFont="1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4" fontId="0" fillId="0" borderId="6" xfId="0" applyNumberFormat="1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4" fontId="0" fillId="0" borderId="9" xfId="0" applyNumberFormat="1" applyBorder="1" applyAlignment="1">
      <alignment wrapText="1"/>
    </xf>
    <xf numFmtId="0" fontId="0" fillId="0" borderId="10" xfId="0" applyBorder="1" applyAlignment="1">
      <alignment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9" fontId="0" fillId="0" borderId="6" xfId="0" applyNumberFormat="1" applyBorder="1" applyAlignment="1">
      <alignment wrapText="1"/>
    </xf>
    <xf numFmtId="9" fontId="0" fillId="0" borderId="9" xfId="0" applyNumberFormat="1" applyBorder="1" applyAlignment="1">
      <alignment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0" fillId="0" borderId="5" xfId="0" applyBorder="1"/>
    <xf numFmtId="4" fontId="0" fillId="0" borderId="6" xfId="0" applyNumberForma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64" fontId="0" fillId="0" borderId="9" xfId="0" applyNumberFormat="1" applyBorder="1"/>
    <xf numFmtId="0" fontId="0" fillId="0" borderId="9" xfId="0" applyBorder="1"/>
    <xf numFmtId="0" fontId="0" fillId="0" borderId="10" xfId="0" applyBorder="1"/>
    <xf numFmtId="165" fontId="0" fillId="0" borderId="6" xfId="0" applyNumberFormat="1" applyBorder="1" applyAlignment="1">
      <alignment wrapText="1"/>
    </xf>
    <xf numFmtId="165" fontId="0" fillId="0" borderId="9" xfId="0" applyNumberFormat="1" applyBorder="1" applyAlignment="1">
      <alignment wrapText="1"/>
    </xf>
    <xf numFmtId="165" fontId="0" fillId="0" borderId="6" xfId="0" applyNumberFormat="1" applyBorder="1"/>
    <xf numFmtId="0" fontId="5" fillId="2" borderId="11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3" fontId="6" fillId="0" borderId="12" xfId="0" applyNumberFormat="1" applyFont="1" applyBorder="1" applyAlignment="1">
      <alignment horizontal="right" vertical="center"/>
    </xf>
    <xf numFmtId="164" fontId="6" fillId="0" borderId="12" xfId="0" applyNumberFormat="1" applyFont="1" applyBorder="1" applyAlignment="1">
      <alignment horizontal="right" vertical="center"/>
    </xf>
    <xf numFmtId="0" fontId="0" fillId="0" borderId="12" xfId="0" applyBorder="1" applyAlignment="1">
      <alignment vertical="center" wrapText="1"/>
    </xf>
    <xf numFmtId="166" fontId="6" fillId="0" borderId="12" xfId="0" applyNumberFormat="1" applyFont="1" applyBorder="1" applyAlignment="1">
      <alignment horizontal="right" vertical="center"/>
    </xf>
    <xf numFmtId="167" fontId="6" fillId="0" borderId="12" xfId="0" applyNumberFormat="1" applyFont="1" applyBorder="1" applyAlignment="1">
      <alignment horizontal="right" vertical="center"/>
    </xf>
    <xf numFmtId="0" fontId="6" fillId="0" borderId="12" xfId="0" applyFont="1" applyBorder="1" applyAlignment="1">
      <alignment horizontal="right" vertical="center"/>
    </xf>
    <xf numFmtId="0" fontId="5" fillId="3" borderId="0" xfId="0" applyFont="1" applyFill="1" applyBorder="1" applyAlignment="1">
      <alignment horizontal="center" wrapText="1"/>
    </xf>
    <xf numFmtId="0" fontId="5" fillId="2" borderId="1" xfId="0" applyFont="1" applyFill="1" applyAlignment="1">
      <alignment horizontal="center"/>
    </xf>
    <xf numFmtId="0" fontId="0" fillId="0" borderId="1" xfId="0"/>
    <xf numFmtId="0" fontId="4" fillId="2" borderId="1" xfId="0" applyFont="1" applyFill="1" applyAlignment="1">
      <alignment horizontal="center"/>
    </xf>
  </cellXfs>
  <cellStyles count="1">
    <cellStyle name="Normal" xfId="0" builtinId="0"/>
  </cellStyles>
  <dxfs count="3">
    <dxf>
      <fill>
        <patternFill patternType="solid">
          <bgColor rgb="FFF2F2F2"/>
        </patternFill>
      </fill>
    </dxf>
    <dxf>
      <fill>
        <patternFill patternType="solid">
          <bgColor rgb="FFFCE4D6"/>
        </patternFill>
      </fill>
    </dxf>
    <dxf>
      <fill>
        <patternFill patternType="solid">
          <bgColor rgb="FFE2F0D9"/>
        </patternFill>
      </fill>
    </dxf>
  </dxfs>
  <tableStyles count="0" defaultTableStyle="TableStyleMedium2" defaultPivotStyle="PivotStyleLight16"/>
  <colors>
    <mruColors>
      <color rgb="FF227149"/>
      <color rgb="FF585858"/>
      <color rgb="FF34649C"/>
      <color rgb="FFD8D8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1" i="0" u="none" strike="noStrike" baseline="0"/>
              <a:t>Total Embodied Carbon Comparison</a:t>
            </a:r>
            <a:endParaRPr lang="en-US" sz="14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'4_Cost_vs_Carbon_Savings'!$B$10</c:f>
              <c:strCache>
                <c:ptCount val="1"/>
                <c:pt idx="0">
                  <c:v>Total GWP (kg CO₂e)</c:v>
                </c:pt>
              </c:strCache>
            </c:strRef>
          </c:tx>
          <c:spPr>
            <a:solidFill>
              <a:srgbClr val="227149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585858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0216-4C28-97A7-89F5CB725CB0}"/>
              </c:ext>
            </c:extLst>
          </c:dPt>
          <c:dLbls>
            <c:dLbl>
              <c:idx val="0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rgbClr val="585858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0216-4C28-97A7-89F5CB725CB0}"/>
                </c:ext>
              </c:extLst>
            </c:dLbl>
            <c:dLbl>
              <c:idx val="1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rgbClr val="227149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0216-4C28-97A7-89F5CB725CB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'4_Cost_vs_Carbon_Savings'!$A$11:$A$12</c:f>
              <c:strCache>
                <c:ptCount val="2"/>
                <c:pt idx="0">
                  <c:v>Non-Circular</c:v>
                </c:pt>
                <c:pt idx="1">
                  <c:v>Circular</c:v>
                </c:pt>
              </c:strCache>
            </c:strRef>
          </c:cat>
          <c:val>
            <c:numRef>
              <c:f>'4_Cost_vs_Carbon_Savings'!$B$11:$B$12</c:f>
              <c:numCache>
                <c:formatCode>#,##0</c:formatCode>
                <c:ptCount val="2"/>
                <c:pt idx="0">
                  <c:v>312510.45986267662</c:v>
                </c:pt>
                <c:pt idx="1">
                  <c:v>91426.906617088884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16-4C28-97A7-89F5CB725C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-27"/>
        <c:axId val="898654271"/>
        <c:axId val="898650911"/>
      </c:barChart>
      <c:catAx>
        <c:axId val="8986542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8650911"/>
        <c:crosses val="autoZero"/>
        <c:auto val="1"/>
        <c:lblAlgn val="ctr"/>
        <c:lblOffset val="0"/>
        <c:noMultiLvlLbl val="0"/>
      </c:catAx>
      <c:valAx>
        <c:axId val="898650911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rgbClr val="D8D8D8"/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 b="1" i="0" u="none" strike="noStrike" baseline="0"/>
                  <a:t>GWP (kg CO₂e)</a:t>
                </a:r>
                <a:endParaRPr lang="en-US" sz="1400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out"/>
        <c:minorTickMark val="none"/>
        <c:tickLblPos val="nextTo"/>
        <c:spPr>
          <a:noFill/>
          <a:ln>
            <a:solidFill>
              <a:schemeClr val="l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86542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1" i="0" u="none" strike="noStrike" baseline="0"/>
              <a:t>Total Cost Comparison</a:t>
            </a:r>
            <a:endParaRPr lang="en-US" sz="14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'4_Cost_vs_Carbon_Savings'!$E$10</c:f>
              <c:strCache>
                <c:ptCount val="1"/>
                <c:pt idx="0">
                  <c:v>Total Cost ($)</c:v>
                </c:pt>
              </c:strCache>
            </c:strRef>
          </c:tx>
          <c:spPr>
            <a:solidFill>
              <a:srgbClr val="227149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585858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826-442D-804A-D7C6A9109986}"/>
              </c:ext>
            </c:extLst>
          </c:dPt>
          <c:dLbls>
            <c:dLbl>
              <c:idx val="0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rgbClr val="585858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F826-442D-804A-D7C6A9109986}"/>
                </c:ext>
              </c:extLst>
            </c:dLbl>
            <c:dLbl>
              <c:idx val="1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rgbClr val="227149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F826-442D-804A-D7C6A910998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'4_Cost_vs_Carbon_Savings'!$D$11:$D$12</c:f>
              <c:strCache>
                <c:ptCount val="2"/>
                <c:pt idx="0">
                  <c:v>Non-Circular</c:v>
                </c:pt>
                <c:pt idx="1">
                  <c:v>Circular</c:v>
                </c:pt>
              </c:strCache>
            </c:strRef>
          </c:cat>
          <c:val>
            <c:numRef>
              <c:f>'4_Cost_vs_Carbon_Savings'!$E$11:$E$12</c:f>
              <c:numCache>
                <c:formatCode>\$#,##0</c:formatCode>
                <c:ptCount val="2"/>
                <c:pt idx="0">
                  <c:v>2747452.1988944151</c:v>
                </c:pt>
                <c:pt idx="1">
                  <c:v>1708644.0110268397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826-442D-804A-D7C6A91099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-27"/>
        <c:axId val="898654271"/>
        <c:axId val="898650911"/>
      </c:barChart>
      <c:catAx>
        <c:axId val="8986542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8650911"/>
        <c:crosses val="autoZero"/>
        <c:auto val="1"/>
        <c:lblAlgn val="ctr"/>
        <c:lblOffset val="0"/>
        <c:noMultiLvlLbl val="0"/>
      </c:catAx>
      <c:valAx>
        <c:axId val="898650911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rgbClr val="D8D8D8"/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 b="1" i="0" u="none" strike="noStrike" baseline="0"/>
                  <a:t>Cost ($)</a:t>
                </a:r>
                <a:endParaRPr lang="en-US" sz="1400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\$#,##0" sourceLinked="1"/>
        <c:majorTickMark val="out"/>
        <c:minorTickMark val="none"/>
        <c:tickLblPos val="nextTo"/>
        <c:spPr>
          <a:noFill/>
          <a:ln>
            <a:solidFill>
              <a:schemeClr val="l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86542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1" i="0" u="none" strike="noStrike" baseline="0"/>
              <a:t>Percent Reduction by Metric</a:t>
            </a:r>
            <a:endParaRPr lang="en-US" sz="14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'4_Cost_vs_Carbon_Savings'!$B$17</c:f>
              <c:strCache>
                <c:ptCount val="1"/>
                <c:pt idx="0">
                  <c:v>Reduction %</c:v>
                </c:pt>
              </c:strCache>
            </c:strRef>
          </c:tx>
          <c:spPr>
            <a:solidFill>
              <a:srgbClr val="227149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227149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A25-429D-8786-6E2FD0CC50F5}"/>
              </c:ext>
            </c:extLst>
          </c:dPt>
          <c:dPt>
            <c:idx val="1"/>
            <c:invertIfNegative val="0"/>
            <c:bubble3D val="0"/>
            <c:spPr>
              <a:solidFill>
                <a:srgbClr val="34649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A25-429D-8786-6E2FD0CC50F5}"/>
              </c:ext>
            </c:extLst>
          </c:dPt>
          <c:dLbls>
            <c:dLbl>
              <c:idx val="0"/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rgbClr val="227149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CA25-429D-8786-6E2FD0CC50F5}"/>
                </c:ext>
              </c:extLst>
            </c:dLbl>
            <c:dLbl>
              <c:idx val="1"/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rgbClr val="34649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CA25-429D-8786-6E2FD0CC50F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'4_Cost_vs_Carbon_Savings'!$A$18:$A$19</c:f>
              <c:strCache>
                <c:ptCount val="2"/>
                <c:pt idx="0">
                  <c:v>Carbon reduction</c:v>
                </c:pt>
                <c:pt idx="1">
                  <c:v>Cost reduction</c:v>
                </c:pt>
              </c:strCache>
            </c:strRef>
          </c:cat>
          <c:val>
            <c:numRef>
              <c:f>'4_Cost_vs_Carbon_Savings'!$B$18:$B$19</c:f>
              <c:numCache>
                <c:formatCode>0.0%</c:formatCode>
                <c:ptCount val="2"/>
                <c:pt idx="0">
                  <c:v>0.70744369114152628</c:v>
                </c:pt>
                <c:pt idx="1">
                  <c:v>0.37809873026566054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A25-429D-8786-6E2FD0CC5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-27"/>
        <c:axId val="898654271"/>
        <c:axId val="898650911"/>
      </c:barChart>
      <c:catAx>
        <c:axId val="8986542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8650911"/>
        <c:crosses val="autoZero"/>
        <c:auto val="1"/>
        <c:lblAlgn val="ctr"/>
        <c:lblOffset val="0"/>
        <c:noMultiLvlLbl val="0"/>
      </c:catAx>
      <c:valAx>
        <c:axId val="898650911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rgbClr val="D8D8D8"/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 b="1" i="0" u="none" strike="noStrike" baseline="0"/>
                  <a:t>Reduction (%)</a:t>
                </a:r>
                <a:endParaRPr lang="en-US" sz="1400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%" sourceLinked="0"/>
        <c:majorTickMark val="out"/>
        <c:minorTickMark val="none"/>
        <c:tickLblPos val="nextTo"/>
        <c:spPr>
          <a:noFill/>
          <a:ln>
            <a:solidFill>
              <a:schemeClr val="l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86542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446809</xdr:colOff>
      <xdr:row>21</xdr:row>
      <xdr:rowOff>90920</xdr:rowOff>
    </xdr:from>
    <xdr:to>
      <xdr:col>4</xdr:col>
      <xdr:colOff>1246909</xdr:colOff>
      <xdr:row>34</xdr:row>
      <xdr:rowOff>86591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EA1805A9-4324-CD65-0C00-F5E0299D91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1181056</xdr:colOff>
      <xdr:row>21</xdr:row>
      <xdr:rowOff>23210</xdr:rowOff>
    </xdr:from>
    <xdr:to>
      <xdr:col>12</xdr:col>
      <xdr:colOff>554181</xdr:colOff>
      <xdr:row>34</xdr:row>
      <xdr:rowOff>155864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959E1E8F-7E3C-42E7-AB80-45E4E6DE5D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473631</xdr:colOff>
      <xdr:row>37</xdr:row>
      <xdr:rowOff>190281</xdr:rowOff>
    </xdr:from>
    <xdr:to>
      <xdr:col>4</xdr:col>
      <xdr:colOff>1322295</xdr:colOff>
      <xdr:row>55</xdr:row>
      <xdr:rowOff>85573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FBE9079A-D556-4B0C-8E5A-F81E906C47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0"/>
  <sheetViews>
    <sheetView workbookViewId="0"/>
  </sheetViews>
  <sheetFormatPr defaultRowHeight="14.25"/>
  <cols>
    <col min="1" max="2" width="24" customWidth="1"/>
    <col min="3" max="3" width="38" customWidth="1"/>
    <col min="4" max="4" width="16" customWidth="1"/>
    <col min="5" max="7" width="18" customWidth="1"/>
    <col min="8" max="9" width="42" customWidth="1"/>
  </cols>
  <sheetData>
    <row r="1" spans="1:9" ht="15">
      <c r="A1" s="13" t="s">
        <v>0</v>
      </c>
      <c r="B1" s="14"/>
      <c r="C1" s="14"/>
      <c r="D1" s="14"/>
      <c r="E1" s="14"/>
      <c r="F1" s="14"/>
      <c r="G1" s="14"/>
      <c r="H1" s="15"/>
      <c r="I1" s="1"/>
    </row>
    <row r="2" spans="1:9">
      <c r="A2" s="5" t="s">
        <v>1</v>
      </c>
      <c r="B2" s="6">
        <v>25000</v>
      </c>
      <c r="C2" s="6" t="s">
        <v>2</v>
      </c>
      <c r="D2" s="6"/>
      <c r="E2" s="6"/>
      <c r="F2" s="6"/>
      <c r="G2" s="6"/>
      <c r="H2" s="8"/>
    </row>
    <row r="3" spans="1:9">
      <c r="A3" s="5" t="s">
        <v>3</v>
      </c>
      <c r="B3" s="6">
        <v>5</v>
      </c>
      <c r="C3" s="6" t="s">
        <v>4</v>
      </c>
      <c r="D3" s="6"/>
      <c r="E3" s="6"/>
      <c r="F3" s="6"/>
      <c r="G3" s="6"/>
      <c r="H3" s="8"/>
    </row>
    <row r="4" spans="1:9" ht="28.5">
      <c r="A4" s="5" t="s">
        <v>5</v>
      </c>
      <c r="B4" s="6">
        <f>B2/B3</f>
        <v>5000</v>
      </c>
      <c r="C4" s="6" t="s">
        <v>2</v>
      </c>
      <c r="D4" s="6" t="s">
        <v>6</v>
      </c>
      <c r="E4" s="6"/>
      <c r="F4" s="6"/>
      <c r="G4" s="6"/>
      <c r="H4" s="8"/>
    </row>
    <row r="5" spans="1:9" ht="28.5">
      <c r="A5" s="5" t="s">
        <v>7</v>
      </c>
      <c r="B5" s="6">
        <f>4*SQRT(B4)</f>
        <v>282.84271247461902</v>
      </c>
      <c r="C5" s="6" t="s">
        <v>8</v>
      </c>
      <c r="D5" s="6" t="s">
        <v>9</v>
      </c>
      <c r="E5" s="6"/>
      <c r="F5" s="6"/>
      <c r="G5" s="6"/>
      <c r="H5" s="8"/>
    </row>
    <row r="6" spans="1:9" ht="28.5">
      <c r="A6" s="5" t="s">
        <v>10</v>
      </c>
      <c r="B6" s="6">
        <v>10</v>
      </c>
      <c r="C6" s="6" t="s">
        <v>8</v>
      </c>
      <c r="D6" s="6" t="s">
        <v>11</v>
      </c>
      <c r="E6" s="6"/>
      <c r="F6" s="6"/>
      <c r="G6" s="6"/>
      <c r="H6" s="8"/>
    </row>
    <row r="7" spans="1:9" ht="28.5">
      <c r="A7" s="5" t="s">
        <v>12</v>
      </c>
      <c r="B7" s="6">
        <f>B5*B6*B3</f>
        <v>14142.135623730952</v>
      </c>
      <c r="C7" s="6" t="s">
        <v>2</v>
      </c>
      <c r="D7" s="6" t="s">
        <v>13</v>
      </c>
      <c r="E7" s="6"/>
      <c r="F7" s="6"/>
      <c r="G7" s="6"/>
      <c r="H7" s="8"/>
    </row>
    <row r="8" spans="1:9">
      <c r="A8" s="5" t="s">
        <v>14</v>
      </c>
      <c r="B8" s="16">
        <v>0.4</v>
      </c>
      <c r="C8" s="6" t="s">
        <v>15</v>
      </c>
      <c r="D8" s="6"/>
      <c r="E8" s="6"/>
      <c r="F8" s="6"/>
      <c r="G8" s="6"/>
      <c r="H8" s="8"/>
    </row>
    <row r="9" spans="1:9">
      <c r="A9" s="5" t="s">
        <v>16</v>
      </c>
      <c r="B9" s="16">
        <v>0.6</v>
      </c>
      <c r="C9" s="6" t="s">
        <v>15</v>
      </c>
      <c r="D9" s="6"/>
      <c r="E9" s="6"/>
      <c r="F9" s="6"/>
      <c r="G9" s="6"/>
      <c r="H9" s="8"/>
    </row>
    <row r="10" spans="1:9">
      <c r="A10" s="5" t="s">
        <v>17</v>
      </c>
      <c r="B10" s="6">
        <f>B7*B8</f>
        <v>5656.8542494923813</v>
      </c>
      <c r="C10" s="6" t="s">
        <v>2</v>
      </c>
      <c r="D10" s="6"/>
      <c r="E10" s="6"/>
      <c r="F10" s="6"/>
      <c r="G10" s="6"/>
      <c r="H10" s="8"/>
    </row>
    <row r="11" spans="1:9">
      <c r="A11" s="5" t="s">
        <v>18</v>
      </c>
      <c r="B11" s="6">
        <f>B7*B9</f>
        <v>8485.2813742385715</v>
      </c>
      <c r="C11" s="6" t="s">
        <v>2</v>
      </c>
      <c r="D11" s="6"/>
      <c r="E11" s="6"/>
      <c r="F11" s="6"/>
      <c r="G11" s="6"/>
      <c r="H11" s="8"/>
    </row>
    <row r="12" spans="1:9" ht="28.5">
      <c r="A12" s="5" t="s">
        <v>19</v>
      </c>
      <c r="B12" s="6">
        <f>B4</f>
        <v>5000</v>
      </c>
      <c r="C12" s="6" t="s">
        <v>2</v>
      </c>
      <c r="D12" s="6" t="s">
        <v>20</v>
      </c>
      <c r="E12" s="6"/>
      <c r="F12" s="6"/>
      <c r="G12" s="6"/>
      <c r="H12" s="8"/>
    </row>
    <row r="13" spans="1:9" ht="57">
      <c r="A13" s="5" t="s">
        <v>21</v>
      </c>
      <c r="B13" s="6">
        <v>0.15</v>
      </c>
      <c r="C13" s="6" t="s">
        <v>22</v>
      </c>
      <c r="D13" s="6" t="s">
        <v>23</v>
      </c>
      <c r="E13" s="6"/>
      <c r="F13" s="6"/>
      <c r="G13" s="6"/>
      <c r="H13" s="8"/>
    </row>
    <row r="14" spans="1:9" ht="57">
      <c r="A14" s="5" t="s">
        <v>24</v>
      </c>
      <c r="B14" s="6">
        <v>0.3</v>
      </c>
      <c r="C14" s="6" t="s">
        <v>25</v>
      </c>
      <c r="D14" s="6" t="s">
        <v>26</v>
      </c>
      <c r="E14" s="6"/>
      <c r="F14" s="6"/>
      <c r="G14" s="6"/>
      <c r="H14" s="8"/>
    </row>
    <row r="15" spans="1:9" ht="42.75">
      <c r="A15" s="5" t="s">
        <v>27</v>
      </c>
      <c r="B15" s="6">
        <v>100</v>
      </c>
      <c r="C15" s="6" t="s">
        <v>28</v>
      </c>
      <c r="D15" s="6" t="s">
        <v>29</v>
      </c>
      <c r="E15" s="6"/>
      <c r="F15" s="6"/>
      <c r="G15" s="6"/>
      <c r="H15" s="8"/>
    </row>
    <row r="16" spans="1:9" ht="42.75">
      <c r="A16" s="5" t="s">
        <v>30</v>
      </c>
      <c r="B16" s="6">
        <v>110</v>
      </c>
      <c r="C16" s="6" t="s">
        <v>28</v>
      </c>
      <c r="D16" s="6" t="s">
        <v>29</v>
      </c>
      <c r="E16" s="6"/>
      <c r="F16" s="6"/>
      <c r="G16" s="6"/>
      <c r="H16" s="8"/>
    </row>
    <row r="17" spans="1:9" ht="28.5">
      <c r="A17" s="5" t="s">
        <v>31</v>
      </c>
      <c r="B17" s="6">
        <v>0.75</v>
      </c>
      <c r="C17" s="6" t="s">
        <v>32</v>
      </c>
      <c r="D17" s="6" t="s">
        <v>33</v>
      </c>
      <c r="E17" s="6"/>
      <c r="F17" s="6"/>
      <c r="G17" s="6"/>
      <c r="H17" s="8"/>
    </row>
    <row r="18" spans="1:9" ht="57">
      <c r="A18" s="5" t="s">
        <v>34</v>
      </c>
      <c r="B18" s="6">
        <v>2.2000000000000002</v>
      </c>
      <c r="C18" s="6" t="s">
        <v>35</v>
      </c>
      <c r="D18" s="6" t="s">
        <v>36</v>
      </c>
      <c r="E18" s="6"/>
      <c r="F18" s="6"/>
      <c r="G18" s="6"/>
      <c r="H18" s="8"/>
    </row>
    <row r="19" spans="1:9" ht="42.75">
      <c r="A19" s="5" t="s">
        <v>37</v>
      </c>
      <c r="B19" s="6">
        <v>2.64</v>
      </c>
      <c r="C19" s="6" t="s">
        <v>38</v>
      </c>
      <c r="D19" s="6" t="s">
        <v>39</v>
      </c>
      <c r="E19" s="6"/>
      <c r="F19" s="6"/>
      <c r="G19" s="6"/>
      <c r="H19" s="8"/>
    </row>
    <row r="20" spans="1:9" ht="71.25">
      <c r="A20" s="5" t="s">
        <v>40</v>
      </c>
      <c r="B20" s="16">
        <v>0.2</v>
      </c>
      <c r="C20" s="6" t="s">
        <v>41</v>
      </c>
      <c r="D20" s="6" t="s">
        <v>42</v>
      </c>
      <c r="E20" s="6"/>
      <c r="F20" s="6"/>
      <c r="G20" s="6"/>
      <c r="H20" s="8"/>
    </row>
    <row r="21" spans="1:9" ht="42.75">
      <c r="A21" s="5" t="s">
        <v>43</v>
      </c>
      <c r="B21" s="16">
        <v>0.5</v>
      </c>
      <c r="C21" s="6" t="s">
        <v>44</v>
      </c>
      <c r="D21" s="6" t="s">
        <v>45</v>
      </c>
      <c r="E21" s="6"/>
      <c r="F21" s="6"/>
      <c r="G21" s="6"/>
      <c r="H21" s="8"/>
    </row>
    <row r="22" spans="1:9" ht="57">
      <c r="A22" s="5" t="s">
        <v>46</v>
      </c>
      <c r="B22" s="16">
        <v>0.1</v>
      </c>
      <c r="C22" s="6" t="s">
        <v>47</v>
      </c>
      <c r="D22" s="6" t="s">
        <v>48</v>
      </c>
      <c r="E22" s="6"/>
      <c r="F22" s="6"/>
      <c r="G22" s="6"/>
      <c r="H22" s="8"/>
    </row>
    <row r="23" spans="1:9" ht="71.25">
      <c r="A23" s="9" t="s">
        <v>49</v>
      </c>
      <c r="B23" s="17">
        <v>0</v>
      </c>
      <c r="C23" s="10" t="s">
        <v>50</v>
      </c>
      <c r="D23" s="10" t="s">
        <v>51</v>
      </c>
      <c r="E23" s="10"/>
      <c r="F23" s="10"/>
      <c r="G23" s="10"/>
      <c r="H23" s="12"/>
    </row>
    <row r="26" spans="1:9" ht="30">
      <c r="A26" s="2" t="s">
        <v>52</v>
      </c>
      <c r="B26" s="3" t="s">
        <v>53</v>
      </c>
      <c r="C26" s="3" t="s">
        <v>54</v>
      </c>
      <c r="D26" s="3" t="s">
        <v>55</v>
      </c>
      <c r="E26" s="3" t="s">
        <v>56</v>
      </c>
      <c r="F26" s="3" t="s">
        <v>57</v>
      </c>
      <c r="G26" s="3" t="s">
        <v>58</v>
      </c>
      <c r="H26" s="3" t="s">
        <v>59</v>
      </c>
      <c r="I26" s="4" t="s">
        <v>60</v>
      </c>
    </row>
    <row r="27" spans="1:9" ht="28.5">
      <c r="A27" s="5" t="s">
        <v>61</v>
      </c>
      <c r="B27" s="6" t="s">
        <v>62</v>
      </c>
      <c r="C27" s="6" t="s">
        <v>63</v>
      </c>
      <c r="D27" s="6" t="s">
        <v>64</v>
      </c>
      <c r="E27" s="6" t="s">
        <v>65</v>
      </c>
      <c r="F27" s="7">
        <f>B14*(B4*0.092903)</f>
        <v>139.3545</v>
      </c>
      <c r="G27" s="7">
        <f>F27*$B$23</f>
        <v>0</v>
      </c>
      <c r="H27" s="6" t="s">
        <v>66</v>
      </c>
      <c r="I27" s="8" t="s">
        <v>67</v>
      </c>
    </row>
    <row r="28" spans="1:9" ht="42.75">
      <c r="A28" s="5" t="s">
        <v>68</v>
      </c>
      <c r="B28" s="6" t="s">
        <v>69</v>
      </c>
      <c r="C28" s="6" t="s">
        <v>70</v>
      </c>
      <c r="D28" s="6" t="s">
        <v>64</v>
      </c>
      <c r="E28" s="6" t="s">
        <v>71</v>
      </c>
      <c r="F28" s="7">
        <f>F27*$B$15/1000</f>
        <v>13.935450000000001</v>
      </c>
      <c r="G28" s="7">
        <f>F28*$B$23</f>
        <v>0</v>
      </c>
      <c r="H28" s="6" t="s">
        <v>72</v>
      </c>
      <c r="I28" s="8" t="s">
        <v>73</v>
      </c>
    </row>
    <row r="29" spans="1:9" ht="28.5">
      <c r="A29" s="5" t="s">
        <v>74</v>
      </c>
      <c r="B29" s="6" t="s">
        <v>75</v>
      </c>
      <c r="C29" s="6" t="s">
        <v>76</v>
      </c>
      <c r="D29" s="6" t="s">
        <v>64</v>
      </c>
      <c r="E29" s="6" t="s">
        <v>65</v>
      </c>
      <c r="F29" s="7">
        <f>(B2*0.092903)*$B$13</f>
        <v>348.38624999999996</v>
      </c>
      <c r="G29" s="7">
        <f>F29*$B$23</f>
        <v>0</v>
      </c>
      <c r="H29" s="6" t="s">
        <v>77</v>
      </c>
      <c r="I29" s="8" t="s">
        <v>78</v>
      </c>
    </row>
    <row r="30" spans="1:9" ht="42.75">
      <c r="A30" s="5" t="s">
        <v>79</v>
      </c>
      <c r="B30" s="6" t="s">
        <v>80</v>
      </c>
      <c r="C30" s="6" t="s">
        <v>70</v>
      </c>
      <c r="D30" s="6" t="s">
        <v>64</v>
      </c>
      <c r="E30" s="6" t="s">
        <v>71</v>
      </c>
      <c r="F30" s="7">
        <f>F29*$B$16/1000</f>
        <v>38.322487499999994</v>
      </c>
      <c r="G30" s="7">
        <f>F30*$B$23</f>
        <v>0</v>
      </c>
      <c r="H30" s="6" t="s">
        <v>81</v>
      </c>
      <c r="I30" s="8" t="s">
        <v>73</v>
      </c>
    </row>
    <row r="31" spans="1:9" ht="28.5">
      <c r="A31" s="5" t="s">
        <v>82</v>
      </c>
      <c r="B31" s="6" t="s">
        <v>83</v>
      </c>
      <c r="C31" s="6" t="s">
        <v>84</v>
      </c>
      <c r="D31" s="6" t="s">
        <v>64</v>
      </c>
      <c r="E31" s="6" t="s">
        <v>71</v>
      </c>
      <c r="F31" s="7">
        <f>(B10*0.092903)*15/1000</f>
        <v>7.883080955108861</v>
      </c>
      <c r="G31" s="7">
        <f>F31*$B$21</f>
        <v>3.9415404775544305</v>
      </c>
      <c r="H31" s="6" t="s">
        <v>85</v>
      </c>
      <c r="I31" s="8" t="s">
        <v>86</v>
      </c>
    </row>
    <row r="32" spans="1:9" ht="42.75">
      <c r="A32" s="5" t="s">
        <v>87</v>
      </c>
      <c r="B32" s="6" t="s">
        <v>88</v>
      </c>
      <c r="C32" s="6" t="s">
        <v>89</v>
      </c>
      <c r="D32" s="6" t="s">
        <v>64</v>
      </c>
      <c r="E32" s="6" t="s">
        <v>90</v>
      </c>
      <c r="F32" s="7">
        <f>(B11*0.092903)/100</f>
        <v>7.8830809551088601</v>
      </c>
      <c r="G32" s="7">
        <f>F32*$B$22</f>
        <v>0.7883080955108861</v>
      </c>
      <c r="H32" s="6" t="s">
        <v>91</v>
      </c>
      <c r="I32" s="8" t="s">
        <v>92</v>
      </c>
    </row>
    <row r="33" spans="1:9" ht="42.75">
      <c r="A33" s="5" t="s">
        <v>93</v>
      </c>
      <c r="B33" s="6" t="s">
        <v>94</v>
      </c>
      <c r="C33" s="6" t="s">
        <v>95</v>
      </c>
      <c r="D33" s="6" t="s">
        <v>64</v>
      </c>
      <c r="E33" s="6" t="s">
        <v>71</v>
      </c>
      <c r="F33" s="7">
        <f>(B2*$B$17*1.2*0.453592)/1000</f>
        <v>10.205819999999999</v>
      </c>
      <c r="G33" s="7">
        <f t="shared" ref="G33:G39" si="0">F33</f>
        <v>10.205819999999999</v>
      </c>
      <c r="H33" s="6" t="s">
        <v>96</v>
      </c>
      <c r="I33" s="8" t="s">
        <v>97</v>
      </c>
    </row>
    <row r="34" spans="1:9" ht="28.5">
      <c r="A34" s="5" t="s">
        <v>98</v>
      </c>
      <c r="B34" s="6" t="s">
        <v>99</v>
      </c>
      <c r="C34" s="6" t="s">
        <v>100</v>
      </c>
      <c r="D34" s="6" t="s">
        <v>64</v>
      </c>
      <c r="E34" s="6" t="s">
        <v>101</v>
      </c>
      <c r="F34" s="7">
        <f>(B2*$B$18)/1000</f>
        <v>55.000000000000007</v>
      </c>
      <c r="G34" s="7">
        <f t="shared" si="0"/>
        <v>55.000000000000007</v>
      </c>
      <c r="H34" s="6" t="s">
        <v>102</v>
      </c>
      <c r="I34" s="8" t="s">
        <v>103</v>
      </c>
    </row>
    <row r="35" spans="1:9" ht="28.5">
      <c r="A35" s="5" t="s">
        <v>104</v>
      </c>
      <c r="B35" s="6" t="s">
        <v>105</v>
      </c>
      <c r="C35" s="6" t="s">
        <v>106</v>
      </c>
      <c r="D35" s="6" t="s">
        <v>64</v>
      </c>
      <c r="E35" s="6" t="s">
        <v>107</v>
      </c>
      <c r="F35" s="7">
        <f>(B11*0.092903)*$B$19</f>
        <v>2081.133372148739</v>
      </c>
      <c r="G35" s="7">
        <f t="shared" si="0"/>
        <v>2081.133372148739</v>
      </c>
      <c r="H35" s="6" t="s">
        <v>108</v>
      </c>
      <c r="I35" s="8" t="s">
        <v>109</v>
      </c>
    </row>
    <row r="36" spans="1:9" ht="42.75">
      <c r="A36" s="5" t="s">
        <v>110</v>
      </c>
      <c r="B36" s="6" t="s">
        <v>111</v>
      </c>
      <c r="C36" s="6" t="s">
        <v>112</v>
      </c>
      <c r="D36" s="6" t="s">
        <v>64</v>
      </c>
      <c r="E36" s="6" t="s">
        <v>113</v>
      </c>
      <c r="F36" s="7">
        <f>B12*0.092903</f>
        <v>464.51499999999999</v>
      </c>
      <c r="G36" s="7">
        <f t="shared" si="0"/>
        <v>464.51499999999999</v>
      </c>
      <c r="H36" s="6" t="s">
        <v>114</v>
      </c>
      <c r="I36" s="8" t="s">
        <v>115</v>
      </c>
    </row>
    <row r="37" spans="1:9" ht="28.5">
      <c r="A37" s="5" t="s">
        <v>116</v>
      </c>
      <c r="B37" s="6" t="s">
        <v>117</v>
      </c>
      <c r="C37" s="6" t="s">
        <v>118</v>
      </c>
      <c r="D37" s="6" t="s">
        <v>119</v>
      </c>
      <c r="E37" s="6" t="s">
        <v>2</v>
      </c>
      <c r="F37" s="7">
        <f>B11</f>
        <v>8485.2813742385715</v>
      </c>
      <c r="G37" s="7">
        <f t="shared" si="0"/>
        <v>8485.2813742385715</v>
      </c>
      <c r="H37" s="6" t="s">
        <v>120</v>
      </c>
      <c r="I37" s="8" t="s">
        <v>121</v>
      </c>
    </row>
    <row r="38" spans="1:9" ht="42.75">
      <c r="A38" s="5" t="s">
        <v>122</v>
      </c>
      <c r="B38" s="6" t="s">
        <v>117</v>
      </c>
      <c r="C38" s="6" t="s">
        <v>118</v>
      </c>
      <c r="D38" s="6" t="s">
        <v>119</v>
      </c>
      <c r="E38" s="6" t="s">
        <v>2</v>
      </c>
      <c r="F38" s="7">
        <f>B2*$B$18</f>
        <v>55000.000000000007</v>
      </c>
      <c r="G38" s="7">
        <f t="shared" si="0"/>
        <v>55000.000000000007</v>
      </c>
      <c r="H38" s="6" t="s">
        <v>123</v>
      </c>
      <c r="I38" s="8" t="s">
        <v>121</v>
      </c>
    </row>
    <row r="39" spans="1:9" ht="28.5">
      <c r="A39" s="5" t="s">
        <v>124</v>
      </c>
      <c r="B39" s="6" t="s">
        <v>125</v>
      </c>
      <c r="C39" s="6" t="s">
        <v>126</v>
      </c>
      <c r="D39" s="6" t="s">
        <v>64</v>
      </c>
      <c r="E39" s="6" t="s">
        <v>113</v>
      </c>
      <c r="F39" s="7">
        <f>B2*0.092903</f>
        <v>2322.5749999999998</v>
      </c>
      <c r="G39" s="7">
        <f t="shared" si="0"/>
        <v>2322.5749999999998</v>
      </c>
      <c r="H39" s="6" t="s">
        <v>127</v>
      </c>
      <c r="I39" s="8" t="s">
        <v>128</v>
      </c>
    </row>
    <row r="40" spans="1:9" ht="42.75">
      <c r="A40" s="9" t="s">
        <v>129</v>
      </c>
      <c r="B40" s="10" t="s">
        <v>130</v>
      </c>
      <c r="C40" s="10" t="s">
        <v>131</v>
      </c>
      <c r="D40" s="10" t="s">
        <v>132</v>
      </c>
      <c r="E40" s="10" t="s">
        <v>113</v>
      </c>
      <c r="F40" s="11">
        <f>0</f>
        <v>0</v>
      </c>
      <c r="G40" s="11">
        <f>B4*$B$20*0.092903</f>
        <v>92.903000000000006</v>
      </c>
      <c r="H40" s="10" t="s">
        <v>133</v>
      </c>
      <c r="I40" s="12" t="s">
        <v>134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2"/>
  <sheetViews>
    <sheetView workbookViewId="0"/>
  </sheetViews>
  <sheetFormatPr defaultRowHeight="14.25"/>
  <cols>
    <col min="1" max="1" width="24" customWidth="1"/>
    <col min="2" max="2" width="13" customWidth="1"/>
    <col min="3" max="3" width="38" customWidth="1"/>
    <col min="4" max="4" width="16" customWidth="1"/>
    <col min="5" max="5" width="18" customWidth="1"/>
    <col min="6" max="7" width="16" customWidth="1"/>
    <col min="8" max="10" width="18" customWidth="1"/>
    <col min="11" max="11" width="45" customWidth="1"/>
  </cols>
  <sheetData>
    <row r="1" spans="1:11" ht="45">
      <c r="A1" s="2" t="s">
        <v>52</v>
      </c>
      <c r="B1" s="3" t="s">
        <v>135</v>
      </c>
      <c r="C1" s="3" t="s">
        <v>136</v>
      </c>
      <c r="D1" s="3" t="s">
        <v>137</v>
      </c>
      <c r="E1" s="3" t="s">
        <v>138</v>
      </c>
      <c r="F1" s="3" t="s">
        <v>139</v>
      </c>
      <c r="G1" s="3" t="s">
        <v>140</v>
      </c>
      <c r="H1" s="3" t="s">
        <v>141</v>
      </c>
      <c r="I1" s="3" t="s">
        <v>142</v>
      </c>
      <c r="J1" s="3" t="s">
        <v>143</v>
      </c>
      <c r="K1" s="4" t="s">
        <v>144</v>
      </c>
    </row>
    <row r="2" spans="1:11">
      <c r="A2" s="5" t="str">
        <f>'1_Takeoff_Assumptions'!A27</f>
        <v>Concrete foundation</v>
      </c>
      <c r="B2" s="6" t="s">
        <v>145</v>
      </c>
      <c r="C2" s="6" t="str">
        <f>'1_Takeoff_Assumptions'!C27</f>
        <v>Ready-mixed concrete, USA National, 4000 psi</v>
      </c>
      <c r="D2" s="6" t="str">
        <f>'1_Takeoff_Assumptions'!E27</f>
        <v>m³</v>
      </c>
      <c r="E2" s="7">
        <v>308</v>
      </c>
      <c r="F2" s="7">
        <f>'1_Takeoff_Assumptions'!F27</f>
        <v>139.3545</v>
      </c>
      <c r="G2" s="7">
        <f>'1_Takeoff_Assumptions'!G27</f>
        <v>0</v>
      </c>
      <c r="H2" s="7">
        <f t="shared" ref="H2:H15" si="0">IF(B2="Excluded",0,F2*E2)</f>
        <v>42921.186000000002</v>
      </c>
      <c r="I2" s="7">
        <f t="shared" ref="I2:I15" si="1">IF(B2="Excluded",0,G2*E2)</f>
        <v>0</v>
      </c>
      <c r="J2" s="7">
        <f t="shared" ref="J2:J15" si="2">H2-I2</f>
        <v>42921.186000000002</v>
      </c>
      <c r="K2" s="8" t="str">
        <f>'1_Takeoff_Assumptions'!I27</f>
        <v>CLF 2025 Table ES.2; National 4000 psi = 308 kg CO₂e/m³</v>
      </c>
    </row>
    <row r="3" spans="1:11">
      <c r="A3" s="5" t="str">
        <f>'1_Takeoff_Assumptions'!A28</f>
        <v>Foundation rebar</v>
      </c>
      <c r="B3" s="6" t="s">
        <v>145</v>
      </c>
      <c r="C3" s="6" t="str">
        <f>'1_Takeoff_Assumptions'!C28</f>
        <v>Rebar, unfabricated</v>
      </c>
      <c r="D3" s="6" t="str">
        <f>'1_Takeoff_Assumptions'!E28</f>
        <v>metric ton</v>
      </c>
      <c r="E3" s="7">
        <v>753</v>
      </c>
      <c r="F3" s="7">
        <f>'1_Takeoff_Assumptions'!F28</f>
        <v>13.935450000000001</v>
      </c>
      <c r="G3" s="7">
        <f>'1_Takeoff_Assumptions'!G28</f>
        <v>0</v>
      </c>
      <c r="H3" s="7">
        <f t="shared" si="0"/>
        <v>10493.39385</v>
      </c>
      <c r="I3" s="7">
        <f t="shared" si="1"/>
        <v>0</v>
      </c>
      <c r="J3" s="7">
        <f t="shared" si="2"/>
        <v>10493.39385</v>
      </c>
      <c r="K3" s="8" t="str">
        <f>'1_Takeoff_Assumptions'!I28</f>
        <v>CLF 2025 Table ES.1; unfabricated rebar = 753 kg CO₂e/metric ton</v>
      </c>
    </row>
    <row r="4" spans="1:11">
      <c r="A4" s="5" t="str">
        <f>'1_Takeoff_Assumptions'!A29</f>
        <v>Structural concrete</v>
      </c>
      <c r="B4" s="6" t="s">
        <v>145</v>
      </c>
      <c r="C4" s="6" t="str">
        <f>'1_Takeoff_Assumptions'!C29</f>
        <v>Ready-mixed concrete, USA National, 5000 psi</v>
      </c>
      <c r="D4" s="6" t="str">
        <f>'1_Takeoff_Assumptions'!E29</f>
        <v>m³</v>
      </c>
      <c r="E4" s="7">
        <v>365</v>
      </c>
      <c r="F4" s="7">
        <f>'1_Takeoff_Assumptions'!F29</f>
        <v>348.38624999999996</v>
      </c>
      <c r="G4" s="7">
        <f>'1_Takeoff_Assumptions'!G29</f>
        <v>0</v>
      </c>
      <c r="H4" s="7">
        <f t="shared" si="0"/>
        <v>127160.98124999998</v>
      </c>
      <c r="I4" s="7">
        <f t="shared" si="1"/>
        <v>0</v>
      </c>
      <c r="J4" s="7">
        <f t="shared" si="2"/>
        <v>127160.98124999998</v>
      </c>
      <c r="K4" s="8" t="str">
        <f>'1_Takeoff_Assumptions'!I29</f>
        <v>CLF 2025 Table ES.2; National 5000 psi = 365 kg CO₂e/m³</v>
      </c>
    </row>
    <row r="5" spans="1:11">
      <c r="A5" s="5" t="str">
        <f>'1_Takeoff_Assumptions'!A30</f>
        <v>Structural rebar</v>
      </c>
      <c r="B5" s="6" t="s">
        <v>145</v>
      </c>
      <c r="C5" s="6" t="str">
        <f>'1_Takeoff_Assumptions'!C30</f>
        <v>Rebar, unfabricated</v>
      </c>
      <c r="D5" s="6" t="str">
        <f>'1_Takeoff_Assumptions'!E30</f>
        <v>metric ton</v>
      </c>
      <c r="E5" s="7">
        <v>753</v>
      </c>
      <c r="F5" s="7">
        <f>'1_Takeoff_Assumptions'!F30</f>
        <v>38.322487499999994</v>
      </c>
      <c r="G5" s="7">
        <f>'1_Takeoff_Assumptions'!G30</f>
        <v>0</v>
      </c>
      <c r="H5" s="7">
        <f t="shared" si="0"/>
        <v>28856.833087499996</v>
      </c>
      <c r="I5" s="7">
        <f t="shared" si="1"/>
        <v>0</v>
      </c>
      <c r="J5" s="7">
        <f t="shared" si="2"/>
        <v>28856.833087499996</v>
      </c>
      <c r="K5" s="8" t="str">
        <f>'1_Takeoff_Assumptions'!I30</f>
        <v>CLF 2025 Table ES.1; unfabricated rebar = 753 kg CO₂e/metric ton</v>
      </c>
    </row>
    <row r="6" spans="1:11">
      <c r="A6" s="5" t="str">
        <f>'1_Takeoff_Assumptions'!A31</f>
        <v>Glazing</v>
      </c>
      <c r="B6" s="6" t="s">
        <v>145</v>
      </c>
      <c r="C6" s="6" t="str">
        <f>'1_Takeoff_Assumptions'!C31</f>
        <v>Flat glass</v>
      </c>
      <c r="D6" s="6" t="str">
        <f>'1_Takeoff_Assumptions'!E31</f>
        <v>metric ton</v>
      </c>
      <c r="E6" s="7">
        <v>1430</v>
      </c>
      <c r="F6" s="7">
        <f>'1_Takeoff_Assumptions'!F31</f>
        <v>7.883080955108861</v>
      </c>
      <c r="G6" s="7">
        <f>'1_Takeoff_Assumptions'!G31</f>
        <v>3.9415404775544305</v>
      </c>
      <c r="H6" s="7">
        <f t="shared" si="0"/>
        <v>11272.805765805671</v>
      </c>
      <c r="I6" s="7">
        <f t="shared" si="1"/>
        <v>5636.4028829028357</v>
      </c>
      <c r="J6" s="7">
        <f t="shared" si="2"/>
        <v>5636.4028829028357</v>
      </c>
      <c r="K6" s="8" t="str">
        <f>'1_Takeoff_Assumptions'!I31</f>
        <v>CLF 2025 Table ES.1; flat glass = 1,430 kg CO₂e/metric ton</v>
      </c>
    </row>
    <row r="7" spans="1:11">
      <c r="A7" s="5" t="str">
        <f>'1_Takeoff_Assumptions'!A32</f>
        <v>Exterior envelope / cladding</v>
      </c>
      <c r="B7" s="6" t="s">
        <v>145</v>
      </c>
      <c r="C7" s="6" t="str">
        <f>'1_Takeoff_Assumptions'!C32</f>
        <v>MCM panel, aluminum</v>
      </c>
      <c r="D7" s="6" t="str">
        <f>'1_Takeoff_Assumptions'!E32</f>
        <v>100 m²</v>
      </c>
      <c r="E7" s="7">
        <v>1530</v>
      </c>
      <c r="F7" s="7">
        <f>'1_Takeoff_Assumptions'!F32</f>
        <v>7.8830809551088601</v>
      </c>
      <c r="G7" s="7">
        <f>'1_Takeoff_Assumptions'!G32</f>
        <v>0.7883080955108861</v>
      </c>
      <c r="H7" s="7">
        <f t="shared" si="0"/>
        <v>12061.113861316557</v>
      </c>
      <c r="I7" s="7">
        <f t="shared" si="1"/>
        <v>1206.1113861316558</v>
      </c>
      <c r="J7" s="7">
        <f t="shared" si="2"/>
        <v>10855.002475184901</v>
      </c>
      <c r="K7" s="8" t="str">
        <f>'1_Takeoff_Assumptions'!I32</f>
        <v>CLF 2025 Table ES.1; MCM panel, aluminum = 1,530 kg CO₂e/100 m²</v>
      </c>
    </row>
    <row r="8" spans="1:11">
      <c r="A8" s="5" t="str">
        <f>'1_Takeoff_Assumptions'!A33</f>
        <v>Interior framing</v>
      </c>
      <c r="B8" s="6" t="s">
        <v>145</v>
      </c>
      <c r="C8" s="6" t="str">
        <f>'1_Takeoff_Assumptions'!C33</f>
        <v>Cold-formed steel framing</v>
      </c>
      <c r="D8" s="6" t="str">
        <f>'1_Takeoff_Assumptions'!E33</f>
        <v>metric ton</v>
      </c>
      <c r="E8" s="7">
        <v>2440</v>
      </c>
      <c r="F8" s="7">
        <f>'1_Takeoff_Assumptions'!F33</f>
        <v>10.205819999999999</v>
      </c>
      <c r="G8" s="7">
        <f>'1_Takeoff_Assumptions'!G33</f>
        <v>10.205819999999999</v>
      </c>
      <c r="H8" s="7">
        <f t="shared" si="0"/>
        <v>24902.200799999999</v>
      </c>
      <c r="I8" s="7">
        <f t="shared" si="1"/>
        <v>24902.200799999999</v>
      </c>
      <c r="J8" s="7">
        <f t="shared" si="2"/>
        <v>0</v>
      </c>
      <c r="K8" s="8" t="str">
        <f>'1_Takeoff_Assumptions'!I33</f>
        <v>CLF 2025 Table ES.1; cold-formed steel framing = 2,440 kg CO₂e/metric ton</v>
      </c>
    </row>
    <row r="9" spans="1:11">
      <c r="A9" s="5" t="str">
        <f>'1_Takeoff_Assumptions'!A34</f>
        <v>Drywall</v>
      </c>
      <c r="B9" s="6" t="s">
        <v>145</v>
      </c>
      <c r="C9" s="6" t="str">
        <f>'1_Takeoff_Assumptions'!C34</f>
        <v>Gypsum board, 5/8 in</v>
      </c>
      <c r="D9" s="6" t="str">
        <f>'1_Takeoff_Assumptions'!E34</f>
        <v>1000 ft²</v>
      </c>
      <c r="E9" s="7">
        <v>277</v>
      </c>
      <c r="F9" s="7">
        <f>'1_Takeoff_Assumptions'!F34</f>
        <v>55.000000000000007</v>
      </c>
      <c r="G9" s="7">
        <f>'1_Takeoff_Assumptions'!G34</f>
        <v>55.000000000000007</v>
      </c>
      <c r="H9" s="7">
        <f t="shared" si="0"/>
        <v>15235.000000000002</v>
      </c>
      <c r="I9" s="7">
        <f t="shared" si="1"/>
        <v>15235.000000000002</v>
      </c>
      <c r="J9" s="7">
        <f t="shared" si="2"/>
        <v>0</v>
      </c>
      <c r="K9" s="8" t="str">
        <f>'1_Takeoff_Assumptions'!I34</f>
        <v>CLF 2025 Table ES.1; gypsum board 5/8 in = 277 kg CO₂e/1000 ft²</v>
      </c>
    </row>
    <row r="10" spans="1:11">
      <c r="A10" s="5" t="str">
        <f>'1_Takeoff_Assumptions'!A35</f>
        <v>Insulation</v>
      </c>
      <c r="B10" s="6" t="s">
        <v>145</v>
      </c>
      <c r="C10" s="6" t="str">
        <f>'1_Takeoff_Assumptions'!C35</f>
        <v>Heavy density mineral wool board</v>
      </c>
      <c r="D10" s="6" t="str">
        <f>'1_Takeoff_Assumptions'!E35</f>
        <v>m²@RSI-1</v>
      </c>
      <c r="E10" s="7">
        <v>6.82</v>
      </c>
      <c r="F10" s="7">
        <f>'1_Takeoff_Assumptions'!F35</f>
        <v>2081.133372148739</v>
      </c>
      <c r="G10" s="7">
        <f>'1_Takeoff_Assumptions'!G35</f>
        <v>2081.133372148739</v>
      </c>
      <c r="H10" s="7">
        <f t="shared" si="0"/>
        <v>14193.329598054401</v>
      </c>
      <c r="I10" s="7">
        <f t="shared" si="1"/>
        <v>14193.329598054401</v>
      </c>
      <c r="J10" s="7">
        <f t="shared" si="2"/>
        <v>0</v>
      </c>
      <c r="K10" s="8" t="str">
        <f>'1_Takeoff_Assumptions'!I35</f>
        <v>CLF 2025 Table ES.1; heavy density mineral wool board = 6.82 kg CO₂e/m²@RSI-1</v>
      </c>
    </row>
    <row r="11" spans="1:11">
      <c r="A11" s="5" t="str">
        <f>'1_Takeoff_Assumptions'!A36</f>
        <v>Roof</v>
      </c>
      <c r="B11" s="6" t="s">
        <v>145</v>
      </c>
      <c r="C11" s="6" t="str">
        <f>'1_Takeoff_Assumptions'!C36</f>
        <v>SBS-modified bitumen roofing membrane, hot asphalt installation</v>
      </c>
      <c r="D11" s="6" t="str">
        <f>'1_Takeoff_Assumptions'!E36</f>
        <v>m²</v>
      </c>
      <c r="E11" s="7">
        <v>5.81</v>
      </c>
      <c r="F11" s="7">
        <f>'1_Takeoff_Assumptions'!F36</f>
        <v>464.51499999999999</v>
      </c>
      <c r="G11" s="7">
        <f>'1_Takeoff_Assumptions'!G36</f>
        <v>464.51499999999999</v>
      </c>
      <c r="H11" s="7">
        <f t="shared" si="0"/>
        <v>2698.8321499999997</v>
      </c>
      <c r="I11" s="7">
        <f t="shared" si="1"/>
        <v>2698.8321499999997</v>
      </c>
      <c r="J11" s="7">
        <f t="shared" si="2"/>
        <v>0</v>
      </c>
      <c r="K11" s="8" t="str">
        <f>'1_Takeoff_Assumptions'!I36</f>
        <v>CLF 2025 Table ES.1; SBS-modified bitumen roofing membrane, hot asphalt = 5.81 kg CO₂e/m²</v>
      </c>
    </row>
    <row r="12" spans="1:11">
      <c r="A12" s="5" t="str">
        <f>'1_Takeoff_Assumptions'!A37</f>
        <v>Exterior paint</v>
      </c>
      <c r="B12" s="6" t="s">
        <v>146</v>
      </c>
      <c r="C12" s="6" t="str">
        <f>'1_Takeoff_Assumptions'!C37</f>
        <v>No CLF baseline used</v>
      </c>
      <c r="D12" s="6" t="str">
        <f>'1_Takeoff_Assumptions'!E37</f>
        <v>ft²</v>
      </c>
      <c r="E12" s="7">
        <v>0</v>
      </c>
      <c r="F12" s="7">
        <f>'1_Takeoff_Assumptions'!F37</f>
        <v>8485.2813742385715</v>
      </c>
      <c r="G12" s="7">
        <f>'1_Takeoff_Assumptions'!G37</f>
        <v>8485.2813742385715</v>
      </c>
      <c r="H12" s="7">
        <f t="shared" si="0"/>
        <v>0</v>
      </c>
      <c r="I12" s="7">
        <f t="shared" si="1"/>
        <v>0</v>
      </c>
      <c r="J12" s="7">
        <f t="shared" si="2"/>
        <v>0</v>
      </c>
      <c r="K12" s="8" t="str">
        <f>'1_Takeoff_Assumptions'!I37</f>
        <v>Cost only; excluded from embodied carbon totals</v>
      </c>
    </row>
    <row r="13" spans="1:11">
      <c r="A13" s="5" t="str">
        <f>'1_Takeoff_Assumptions'!A38</f>
        <v>Interior paint</v>
      </c>
      <c r="B13" s="6" t="s">
        <v>146</v>
      </c>
      <c r="C13" s="6" t="str">
        <f>'1_Takeoff_Assumptions'!C38</f>
        <v>No CLF baseline used</v>
      </c>
      <c r="D13" s="6" t="str">
        <f>'1_Takeoff_Assumptions'!E38</f>
        <v>ft²</v>
      </c>
      <c r="E13" s="7">
        <v>0</v>
      </c>
      <c r="F13" s="7">
        <f>'1_Takeoff_Assumptions'!F38</f>
        <v>55000.000000000007</v>
      </c>
      <c r="G13" s="7">
        <f>'1_Takeoff_Assumptions'!G38</f>
        <v>55000.000000000007</v>
      </c>
      <c r="H13" s="7">
        <f t="shared" si="0"/>
        <v>0</v>
      </c>
      <c r="I13" s="7">
        <f t="shared" si="1"/>
        <v>0</v>
      </c>
      <c r="J13" s="7">
        <f t="shared" si="2"/>
        <v>0</v>
      </c>
      <c r="K13" s="8" t="str">
        <f>'1_Takeoff_Assumptions'!I38</f>
        <v>Cost only; excluded from embodied carbon totals</v>
      </c>
    </row>
    <row r="14" spans="1:11">
      <c r="A14" s="5" t="str">
        <f>'1_Takeoff_Assumptions'!A39</f>
        <v>Flooring</v>
      </c>
      <c r="B14" s="6" t="s">
        <v>145</v>
      </c>
      <c r="C14" s="6" t="str">
        <f>'1_Takeoff_Assumptions'!C39</f>
        <v>Luxury vinyl tile (LVT), glue down</v>
      </c>
      <c r="D14" s="6" t="str">
        <f>'1_Takeoff_Assumptions'!E39</f>
        <v>m²</v>
      </c>
      <c r="E14" s="7">
        <v>9.7799999999999994</v>
      </c>
      <c r="F14" s="7">
        <f>'1_Takeoff_Assumptions'!F39</f>
        <v>2322.5749999999998</v>
      </c>
      <c r="G14" s="7">
        <f>'1_Takeoff_Assumptions'!G39</f>
        <v>2322.5749999999998</v>
      </c>
      <c r="H14" s="7">
        <f t="shared" si="0"/>
        <v>22714.783499999998</v>
      </c>
      <c r="I14" s="7">
        <f t="shared" si="1"/>
        <v>22714.783499999998</v>
      </c>
      <c r="J14" s="7">
        <f t="shared" si="2"/>
        <v>0</v>
      </c>
      <c r="K14" s="8" t="str">
        <f>'1_Takeoff_Assumptions'!I39</f>
        <v>CLF 2025 Table ES.1; glue-down LVT = 9.78 kg CO₂e/m²</v>
      </c>
    </row>
    <row r="15" spans="1:11">
      <c r="A15" s="9" t="str">
        <f>'1_Takeoff_Assumptions'!A40</f>
        <v>CFRP strengthening</v>
      </c>
      <c r="B15" s="10" t="s">
        <v>147</v>
      </c>
      <c r="C15" s="10" t="str">
        <f>'1_Takeoff_Assumptions'!C40</f>
        <v>SEICO average reinforcement material for FRP composite systems (EPD)</v>
      </c>
      <c r="D15" s="10" t="str">
        <f>'1_Takeoff_Assumptions'!E40</f>
        <v>m²</v>
      </c>
      <c r="E15" s="11">
        <v>52.1</v>
      </c>
      <c r="F15" s="11">
        <f>'1_Takeoff_Assumptions'!F40</f>
        <v>0</v>
      </c>
      <c r="G15" s="11">
        <f>'1_Takeoff_Assumptions'!G40</f>
        <v>92.903000000000006</v>
      </c>
      <c r="H15" s="11">
        <f t="shared" si="0"/>
        <v>0</v>
      </c>
      <c r="I15" s="11">
        <f t="shared" si="1"/>
        <v>4840.2463000000007</v>
      </c>
      <c r="J15" s="11">
        <f t="shared" si="2"/>
        <v>-4840.2463000000007</v>
      </c>
      <c r="K15" s="12" t="str">
        <f>'1_Takeoff_Assumptions'!I40</f>
        <v>EPD-IES-0026633:001; A1-A3 GWP = 52.1 kg CO₂e/m²</v>
      </c>
    </row>
    <row r="18" spans="1:4" ht="15">
      <c r="A18" s="18" t="s">
        <v>148</v>
      </c>
      <c r="B18" s="19" t="s">
        <v>149</v>
      </c>
      <c r="C18" s="19" t="s">
        <v>150</v>
      </c>
      <c r="D18" s="20" t="s">
        <v>151</v>
      </c>
    </row>
    <row r="19" spans="1:4">
      <c r="A19" s="21" t="s">
        <v>152</v>
      </c>
      <c r="B19" s="22">
        <f>SUM(H2:H15)</f>
        <v>312510.45986267662</v>
      </c>
      <c r="C19" s="23" t="s">
        <v>153</v>
      </c>
      <c r="D19" s="24" t="s">
        <v>154</v>
      </c>
    </row>
    <row r="20" spans="1:4">
      <c r="A20" s="21" t="s">
        <v>155</v>
      </c>
      <c r="B20" s="22">
        <f>SUM(I2:I15)</f>
        <v>91426.906617088884</v>
      </c>
      <c r="C20" s="23" t="s">
        <v>153</v>
      </c>
      <c r="D20" s="24" t="s">
        <v>154</v>
      </c>
    </row>
    <row r="21" spans="1:4">
      <c r="A21" s="21" t="s">
        <v>156</v>
      </c>
      <c r="B21" s="22">
        <f>B19-B20</f>
        <v>221083.55324558774</v>
      </c>
      <c r="C21" s="23" t="s">
        <v>153</v>
      </c>
      <c r="D21" s="24" t="s">
        <v>157</v>
      </c>
    </row>
    <row r="22" spans="1:4">
      <c r="A22" s="25" t="s">
        <v>158</v>
      </c>
      <c r="B22" s="26">
        <f>IFERROR(B21/B19,0)</f>
        <v>0.70744369114152628</v>
      </c>
      <c r="C22" s="27" t="s">
        <v>50</v>
      </c>
      <c r="D22" s="28" t="s">
        <v>159</v>
      </c>
    </row>
  </sheetData>
  <conditionalFormatting sqref="B2:B15">
    <cfRule type="expression" dxfId="2" priority="1">
      <formula>$B2="CLF"</formula>
    </cfRule>
    <cfRule type="expression" dxfId="1" priority="2">
      <formula>$B2="EPD"</formula>
    </cfRule>
    <cfRule type="expression" dxfId="0" priority="3">
      <formula>$B2="Excluded"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2"/>
  <sheetViews>
    <sheetView workbookViewId="0"/>
  </sheetViews>
  <sheetFormatPr defaultRowHeight="14.25"/>
  <cols>
    <col min="1" max="1" width="24" customWidth="1"/>
    <col min="2" max="8" width="18" customWidth="1"/>
    <col min="9" max="9" width="52" customWidth="1"/>
  </cols>
  <sheetData>
    <row r="1" spans="1:9" ht="30">
      <c r="A1" s="2" t="s">
        <v>52</v>
      </c>
      <c r="B1" s="3" t="s">
        <v>160</v>
      </c>
      <c r="C1" s="3" t="s">
        <v>161</v>
      </c>
      <c r="D1" s="3" t="s">
        <v>162</v>
      </c>
      <c r="E1" s="3" t="s">
        <v>163</v>
      </c>
      <c r="F1" s="3" t="s">
        <v>164</v>
      </c>
      <c r="G1" s="3" t="s">
        <v>165</v>
      </c>
      <c r="H1" s="3" t="s">
        <v>166</v>
      </c>
      <c r="I1" s="4" t="s">
        <v>167</v>
      </c>
    </row>
    <row r="2" spans="1:9" ht="57">
      <c r="A2" s="5" t="s">
        <v>61</v>
      </c>
      <c r="B2" s="6" t="s">
        <v>65</v>
      </c>
      <c r="C2" s="7">
        <f>'1_Takeoff_Assumptions'!F27</f>
        <v>139.3545</v>
      </c>
      <c r="D2" s="7">
        <f>'1_Takeoff_Assumptions'!G27</f>
        <v>0</v>
      </c>
      <c r="E2" s="29">
        <v>475</v>
      </c>
      <c r="F2" s="29">
        <f t="shared" ref="F2:F15" si="0">C2*E2</f>
        <v>66193.387499999997</v>
      </c>
      <c r="G2" s="29">
        <f t="shared" ref="G2:G15" si="1">D2*E2</f>
        <v>0</v>
      </c>
      <c r="H2" s="29">
        <f t="shared" ref="H2:H15" si="2">F2-G2</f>
        <v>66193.387499999997</v>
      </c>
      <c r="I2" s="8" t="s">
        <v>168</v>
      </c>
    </row>
    <row r="3" spans="1:9" ht="28.5">
      <c r="A3" s="5" t="s">
        <v>68</v>
      </c>
      <c r="B3" s="6" t="s">
        <v>71</v>
      </c>
      <c r="C3" s="7">
        <f>'1_Takeoff_Assumptions'!F28</f>
        <v>13.935450000000001</v>
      </c>
      <c r="D3" s="7">
        <f>'1_Takeoff_Assumptions'!G28</f>
        <v>0</v>
      </c>
      <c r="E3" s="29">
        <v>3000</v>
      </c>
      <c r="F3" s="29">
        <f t="shared" si="0"/>
        <v>41806.350000000006</v>
      </c>
      <c r="G3" s="29">
        <f t="shared" si="1"/>
        <v>0</v>
      </c>
      <c r="H3" s="29">
        <f t="shared" si="2"/>
        <v>41806.350000000006</v>
      </c>
      <c r="I3" s="8" t="s">
        <v>169</v>
      </c>
    </row>
    <row r="4" spans="1:9" ht="28.5">
      <c r="A4" s="5" t="s">
        <v>74</v>
      </c>
      <c r="B4" s="6" t="s">
        <v>65</v>
      </c>
      <c r="C4" s="7">
        <f>'1_Takeoff_Assumptions'!F29</f>
        <v>348.38624999999996</v>
      </c>
      <c r="D4" s="7">
        <f>'1_Takeoff_Assumptions'!G29</f>
        <v>0</v>
      </c>
      <c r="E4" s="29">
        <v>450</v>
      </c>
      <c r="F4" s="29">
        <f t="shared" si="0"/>
        <v>156773.81249999997</v>
      </c>
      <c r="G4" s="29">
        <f t="shared" si="1"/>
        <v>0</v>
      </c>
      <c r="H4" s="29">
        <f t="shared" si="2"/>
        <v>156773.81249999997</v>
      </c>
      <c r="I4" s="8" t="s">
        <v>170</v>
      </c>
    </row>
    <row r="5" spans="1:9" ht="28.5">
      <c r="A5" s="5" t="s">
        <v>79</v>
      </c>
      <c r="B5" s="6" t="s">
        <v>71</v>
      </c>
      <c r="C5" s="7">
        <f>'1_Takeoff_Assumptions'!F30</f>
        <v>38.322487499999994</v>
      </c>
      <c r="D5" s="7">
        <f>'1_Takeoff_Assumptions'!G30</f>
        <v>0</v>
      </c>
      <c r="E5" s="29">
        <v>2800</v>
      </c>
      <c r="F5" s="29">
        <f t="shared" si="0"/>
        <v>107302.96499999998</v>
      </c>
      <c r="G5" s="29">
        <f t="shared" si="1"/>
        <v>0</v>
      </c>
      <c r="H5" s="29">
        <f t="shared" si="2"/>
        <v>107302.96499999998</v>
      </c>
      <c r="I5" s="8" t="s">
        <v>169</v>
      </c>
    </row>
    <row r="6" spans="1:9" ht="28.5">
      <c r="A6" s="5" t="s">
        <v>82</v>
      </c>
      <c r="B6" s="6" t="s">
        <v>2</v>
      </c>
      <c r="C6" s="7">
        <f>'1_Takeoff_Assumptions'!B10</f>
        <v>5656.8542494923813</v>
      </c>
      <c r="D6" s="7">
        <f>'1_Takeoff_Assumptions'!B10*'1_Takeoff_Assumptions'!B21</f>
        <v>2828.4271247461907</v>
      </c>
      <c r="E6" s="29">
        <v>100</v>
      </c>
      <c r="F6" s="29">
        <f t="shared" si="0"/>
        <v>565685.42494923808</v>
      </c>
      <c r="G6" s="29">
        <f t="shared" si="1"/>
        <v>282842.71247461904</v>
      </c>
      <c r="H6" s="29">
        <f t="shared" si="2"/>
        <v>282842.71247461904</v>
      </c>
      <c r="I6" s="8" t="s">
        <v>171</v>
      </c>
    </row>
    <row r="7" spans="1:9" ht="28.5">
      <c r="A7" s="5" t="s">
        <v>87</v>
      </c>
      <c r="B7" s="6" t="s">
        <v>2</v>
      </c>
      <c r="C7" s="7">
        <f>'1_Takeoff_Assumptions'!B11</f>
        <v>8485.2813742385715</v>
      </c>
      <c r="D7" s="7">
        <f>'1_Takeoff_Assumptions'!B11*'1_Takeoff_Assumptions'!B22</f>
        <v>848.52813742385717</v>
      </c>
      <c r="E7" s="29">
        <v>65</v>
      </c>
      <c r="F7" s="29">
        <f t="shared" si="0"/>
        <v>551543.28932550712</v>
      </c>
      <c r="G7" s="29">
        <f t="shared" si="1"/>
        <v>55154.328932550714</v>
      </c>
      <c r="H7" s="29">
        <f t="shared" si="2"/>
        <v>496388.96039295639</v>
      </c>
      <c r="I7" s="8" t="s">
        <v>172</v>
      </c>
    </row>
    <row r="8" spans="1:9" ht="28.5">
      <c r="A8" s="5" t="s">
        <v>93</v>
      </c>
      <c r="B8" s="6" t="s">
        <v>173</v>
      </c>
      <c r="C8" s="7">
        <f>'1_Takeoff_Assumptions'!B2*'1_Takeoff_Assumptions'!B17</f>
        <v>18750</v>
      </c>
      <c r="D8" s="7">
        <f>'1_Takeoff_Assumptions'!B2*'1_Takeoff_Assumptions'!B17</f>
        <v>18750</v>
      </c>
      <c r="E8" s="29">
        <v>12</v>
      </c>
      <c r="F8" s="29">
        <f t="shared" si="0"/>
        <v>225000</v>
      </c>
      <c r="G8" s="29">
        <f t="shared" si="1"/>
        <v>225000</v>
      </c>
      <c r="H8" s="29">
        <f t="shared" si="2"/>
        <v>0</v>
      </c>
      <c r="I8" s="8" t="s">
        <v>174</v>
      </c>
    </row>
    <row r="9" spans="1:9" ht="28.5">
      <c r="A9" s="5" t="s">
        <v>98</v>
      </c>
      <c r="B9" s="6" t="s">
        <v>175</v>
      </c>
      <c r="C9" s="7">
        <f>'1_Takeoff_Assumptions'!B2*'1_Takeoff_Assumptions'!B18</f>
        <v>55000.000000000007</v>
      </c>
      <c r="D9" s="7">
        <f>'1_Takeoff_Assumptions'!B2*'1_Takeoff_Assumptions'!B18</f>
        <v>55000.000000000007</v>
      </c>
      <c r="E9" s="29">
        <v>10</v>
      </c>
      <c r="F9" s="29">
        <f t="shared" si="0"/>
        <v>550000.00000000012</v>
      </c>
      <c r="G9" s="29">
        <f t="shared" si="1"/>
        <v>550000.00000000012</v>
      </c>
      <c r="H9" s="29">
        <f t="shared" si="2"/>
        <v>0</v>
      </c>
      <c r="I9" s="8" t="s">
        <v>176</v>
      </c>
    </row>
    <row r="10" spans="1:9" ht="28.5">
      <c r="A10" s="5" t="s">
        <v>104</v>
      </c>
      <c r="B10" s="6" t="s">
        <v>177</v>
      </c>
      <c r="C10" s="7">
        <f>'1_Takeoff_Assumptions'!B11</f>
        <v>8485.2813742385715</v>
      </c>
      <c r="D10" s="7">
        <f>'1_Takeoff_Assumptions'!B11</f>
        <v>8485.2813742385715</v>
      </c>
      <c r="E10" s="29">
        <v>4.5</v>
      </c>
      <c r="F10" s="29">
        <f t="shared" si="0"/>
        <v>38183.766184073575</v>
      </c>
      <c r="G10" s="29">
        <f t="shared" si="1"/>
        <v>38183.766184073575</v>
      </c>
      <c r="H10" s="29">
        <f t="shared" si="2"/>
        <v>0</v>
      </c>
      <c r="I10" s="8" t="s">
        <v>178</v>
      </c>
    </row>
    <row r="11" spans="1:9" ht="42.75">
      <c r="A11" s="5" t="s">
        <v>110</v>
      </c>
      <c r="B11" s="6" t="s">
        <v>179</v>
      </c>
      <c r="C11" s="7">
        <f>'1_Takeoff_Assumptions'!B12</f>
        <v>5000</v>
      </c>
      <c r="D11" s="7">
        <f>'1_Takeoff_Assumptions'!B12</f>
        <v>5000</v>
      </c>
      <c r="E11" s="29">
        <v>8.5</v>
      </c>
      <c r="F11" s="29">
        <f t="shared" si="0"/>
        <v>42500</v>
      </c>
      <c r="G11" s="29">
        <f t="shared" si="1"/>
        <v>42500</v>
      </c>
      <c r="H11" s="29">
        <f t="shared" si="2"/>
        <v>0</v>
      </c>
      <c r="I11" s="8" t="s">
        <v>180</v>
      </c>
    </row>
    <row r="12" spans="1:9" ht="28.5">
      <c r="A12" s="5" t="s">
        <v>116</v>
      </c>
      <c r="B12" s="6" t="s">
        <v>2</v>
      </c>
      <c r="C12" s="7">
        <f>'1_Takeoff_Assumptions'!B11</f>
        <v>8485.2813742385715</v>
      </c>
      <c r="D12" s="7">
        <f>'1_Takeoff_Assumptions'!B11</f>
        <v>8485.2813742385715</v>
      </c>
      <c r="E12" s="29">
        <v>2.5</v>
      </c>
      <c r="F12" s="29">
        <f t="shared" si="0"/>
        <v>21213.203435596428</v>
      </c>
      <c r="G12" s="29">
        <f t="shared" si="1"/>
        <v>21213.203435596428</v>
      </c>
      <c r="H12" s="29">
        <f t="shared" si="2"/>
        <v>0</v>
      </c>
      <c r="I12" s="8" t="s">
        <v>181</v>
      </c>
    </row>
    <row r="13" spans="1:9" ht="28.5">
      <c r="A13" s="5" t="s">
        <v>122</v>
      </c>
      <c r="B13" s="6" t="s">
        <v>2</v>
      </c>
      <c r="C13" s="7">
        <f>'1_Takeoff_Assumptions'!B2*'1_Takeoff_Assumptions'!B18</f>
        <v>55000.000000000007</v>
      </c>
      <c r="D13" s="7">
        <f>'1_Takeoff_Assumptions'!B2*'1_Takeoff_Assumptions'!B18</f>
        <v>55000.000000000007</v>
      </c>
      <c r="E13" s="29">
        <v>1.75</v>
      </c>
      <c r="F13" s="29">
        <f t="shared" si="0"/>
        <v>96250.000000000015</v>
      </c>
      <c r="G13" s="29">
        <f t="shared" si="1"/>
        <v>96250.000000000015</v>
      </c>
      <c r="H13" s="29">
        <f t="shared" si="2"/>
        <v>0</v>
      </c>
      <c r="I13" s="8" t="s">
        <v>181</v>
      </c>
    </row>
    <row r="14" spans="1:9" ht="57">
      <c r="A14" s="5" t="s">
        <v>124</v>
      </c>
      <c r="B14" s="6" t="s">
        <v>2</v>
      </c>
      <c r="C14" s="7">
        <f>'1_Takeoff_Assumptions'!B2</f>
        <v>25000</v>
      </c>
      <c r="D14" s="7">
        <f>'1_Takeoff_Assumptions'!B2</f>
        <v>25000</v>
      </c>
      <c r="E14" s="29">
        <v>11.4</v>
      </c>
      <c r="F14" s="29">
        <f t="shared" si="0"/>
        <v>285000</v>
      </c>
      <c r="G14" s="29">
        <f t="shared" si="1"/>
        <v>285000</v>
      </c>
      <c r="H14" s="29">
        <f t="shared" si="2"/>
        <v>0</v>
      </c>
      <c r="I14" s="8" t="s">
        <v>182</v>
      </c>
    </row>
    <row r="15" spans="1:9" ht="42.75">
      <c r="A15" s="9" t="s">
        <v>129</v>
      </c>
      <c r="B15" s="10" t="s">
        <v>183</v>
      </c>
      <c r="C15" s="11">
        <v>0</v>
      </c>
      <c r="D15" s="11">
        <f>'1_Takeoff_Assumptions'!B4*'1_Takeoff_Assumptions'!B20</f>
        <v>1000</v>
      </c>
      <c r="E15" s="30">
        <v>112.5</v>
      </c>
      <c r="F15" s="30">
        <f t="shared" si="0"/>
        <v>0</v>
      </c>
      <c r="G15" s="30">
        <f t="shared" si="1"/>
        <v>112500</v>
      </c>
      <c r="H15" s="30">
        <f t="shared" si="2"/>
        <v>-112500</v>
      </c>
      <c r="I15" s="12" t="s">
        <v>184</v>
      </c>
    </row>
    <row r="18" spans="1:4" ht="15">
      <c r="A18" s="18" t="s">
        <v>148</v>
      </c>
      <c r="B18" s="19" t="s">
        <v>149</v>
      </c>
      <c r="C18" s="19" t="s">
        <v>150</v>
      </c>
      <c r="D18" s="20" t="s">
        <v>151</v>
      </c>
    </row>
    <row r="19" spans="1:4">
      <c r="A19" s="21" t="s">
        <v>185</v>
      </c>
      <c r="B19" s="31">
        <f>SUM(F2:F15)</f>
        <v>2747452.1988944151</v>
      </c>
      <c r="C19" s="23" t="s">
        <v>186</v>
      </c>
      <c r="D19" s="24" t="s">
        <v>187</v>
      </c>
    </row>
    <row r="20" spans="1:4">
      <c r="A20" s="21" t="s">
        <v>188</v>
      </c>
      <c r="B20" s="31">
        <f>SUM(G2:G15)</f>
        <v>1708644.0110268397</v>
      </c>
      <c r="C20" s="23" t="s">
        <v>186</v>
      </c>
      <c r="D20" s="24" t="s">
        <v>189</v>
      </c>
    </row>
    <row r="21" spans="1:4">
      <c r="A21" s="21" t="s">
        <v>190</v>
      </c>
      <c r="B21" s="31">
        <f>B19-B20</f>
        <v>1038808.1878675753</v>
      </c>
      <c r="C21" s="23" t="s">
        <v>186</v>
      </c>
      <c r="D21" s="24" t="s">
        <v>157</v>
      </c>
    </row>
    <row r="22" spans="1:4">
      <c r="A22" s="25" t="s">
        <v>158</v>
      </c>
      <c r="B22" s="26">
        <f>IFERROR(B21/B19,0)</f>
        <v>0.37809873026566054</v>
      </c>
      <c r="C22" s="27" t="s">
        <v>50</v>
      </c>
      <c r="D22" s="28" t="s">
        <v>191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9"/>
  <sheetViews>
    <sheetView showGridLines="0" tabSelected="1" topLeftCell="A13" zoomScale="85" zoomScaleNormal="85" workbookViewId="0">
      <selection activeCell="F41" sqref="F41"/>
    </sheetView>
  </sheetViews>
  <sheetFormatPr defaultRowHeight="14.25"/>
  <cols>
    <col min="1" max="1" width="28" customWidth="1"/>
    <col min="2" max="2" width="18" customWidth="1"/>
    <col min="3" max="3" width="11" customWidth="1"/>
    <col min="4" max="4" width="28" customWidth="1"/>
    <col min="5" max="5" width="18" customWidth="1"/>
    <col min="6" max="6" width="45" customWidth="1"/>
  </cols>
  <sheetData>
    <row r="1" spans="1:6" ht="24" customHeight="1">
      <c r="A1" s="43" t="s">
        <v>192</v>
      </c>
      <c r="B1" s="42"/>
      <c r="C1" s="42"/>
      <c r="D1" s="42"/>
      <c r="E1" s="42"/>
      <c r="F1" s="42"/>
    </row>
    <row r="2" spans="1:6" ht="24" customHeight="1"/>
    <row r="3" spans="1:6" ht="24" customHeight="1">
      <c r="A3" s="32" t="s">
        <v>193</v>
      </c>
      <c r="B3" s="32" t="s">
        <v>194</v>
      </c>
      <c r="C3" s="32" t="s">
        <v>195</v>
      </c>
      <c r="D3" s="32" t="s">
        <v>196</v>
      </c>
      <c r="E3" s="32" t="s">
        <v>197</v>
      </c>
      <c r="F3" s="32" t="s">
        <v>198</v>
      </c>
    </row>
    <row r="4" spans="1:6" ht="24" customHeight="1">
      <c r="A4" s="33" t="s">
        <v>199</v>
      </c>
      <c r="B4" s="34">
        <f>'2_GWP_Calculations'!B19</f>
        <v>312510.45986267662</v>
      </c>
      <c r="C4" s="34">
        <f>'2_GWP_Calculations'!B20</f>
        <v>91426.906617088884</v>
      </c>
      <c r="D4" s="34">
        <f>'2_GWP_Calculations'!B21</f>
        <v>221083.55324558774</v>
      </c>
      <c r="E4" s="35">
        <f>'2_GWP_Calculations'!B22</f>
        <v>0.70744369114152628</v>
      </c>
      <c r="F4" s="36" t="e">
        <f>'2_GWP_Calculations'!B19:B22</f>
        <v>#VALUE!</v>
      </c>
    </row>
    <row r="5" spans="1:6" ht="24" customHeight="1">
      <c r="A5" s="33" t="s">
        <v>200</v>
      </c>
      <c r="B5" s="37">
        <f>'3_Cost_Calculations'!B19</f>
        <v>2747452.1988944151</v>
      </c>
      <c r="C5" s="37">
        <f>'3_Cost_Calculations'!B20</f>
        <v>1708644.0110268397</v>
      </c>
      <c r="D5" s="37">
        <f>'3_Cost_Calculations'!B21</f>
        <v>1038808.1878675753</v>
      </c>
      <c r="E5" s="35">
        <f>'3_Cost_Calculations'!B22</f>
        <v>0.37809873026566054</v>
      </c>
      <c r="F5" s="36" t="e">
        <f>'3_Cost_Calculations'!B19:B22</f>
        <v>#VALUE!</v>
      </c>
    </row>
    <row r="6" spans="1:6" ht="24" customHeight="1">
      <c r="A6" s="33" t="s">
        <v>201</v>
      </c>
      <c r="B6" s="38">
        <f>'2_GWP_Calculations'!B21/'3_Cost_Calculations'!B21</f>
        <v>0.21282423052461627</v>
      </c>
      <c r="C6" s="39"/>
      <c r="D6" s="39"/>
      <c r="E6" s="39"/>
      <c r="F6" s="36">
        <f>'2_GWP_Calculations'!B21 / '3_Cost_Calculations'!B21</f>
        <v>0.21282423052461627</v>
      </c>
    </row>
    <row r="7" spans="1:6" ht="24" customHeight="1"/>
    <row r="8" spans="1:6" ht="24" customHeight="1"/>
    <row r="9" spans="1:6" ht="24" customHeight="1">
      <c r="A9" s="41" t="s">
        <v>202</v>
      </c>
      <c r="B9" s="42"/>
      <c r="D9" s="41" t="s">
        <v>203</v>
      </c>
      <c r="E9" s="42"/>
    </row>
    <row r="10" spans="1:6" ht="24" customHeight="1">
      <c r="A10" s="40" t="s">
        <v>204</v>
      </c>
      <c r="B10" s="40" t="s">
        <v>199</v>
      </c>
      <c r="D10" s="40" t="s">
        <v>204</v>
      </c>
      <c r="E10" s="40" t="s">
        <v>200</v>
      </c>
    </row>
    <row r="11" spans="1:6" ht="24" customHeight="1">
      <c r="A11" s="36" t="s">
        <v>194</v>
      </c>
      <c r="B11" s="34">
        <f>'2_GWP_Calculations'!B19</f>
        <v>312510.45986267662</v>
      </c>
      <c r="D11" s="36" t="s">
        <v>194</v>
      </c>
      <c r="E11" s="37">
        <f>'3_Cost_Calculations'!B19</f>
        <v>2747452.1988944151</v>
      </c>
    </row>
    <row r="12" spans="1:6" ht="24" customHeight="1">
      <c r="A12" s="36" t="s">
        <v>195</v>
      </c>
      <c r="B12" s="34">
        <f>'2_GWP_Calculations'!B20</f>
        <v>91426.906617088884</v>
      </c>
      <c r="D12" s="36" t="s">
        <v>195</v>
      </c>
      <c r="E12" s="37">
        <f>'3_Cost_Calculations'!B20</f>
        <v>1708644.0110268397</v>
      </c>
    </row>
    <row r="13" spans="1:6" ht="24" customHeight="1"/>
    <row r="14" spans="1:6" ht="24" customHeight="1"/>
    <row r="15" spans="1:6" ht="24" customHeight="1"/>
    <row r="16" spans="1:6" ht="24" customHeight="1">
      <c r="A16" s="41" t="s">
        <v>205</v>
      </c>
      <c r="B16" s="42"/>
      <c r="D16" s="41" t="s">
        <v>206</v>
      </c>
      <c r="E16" s="42"/>
    </row>
    <row r="17" spans="1:5" ht="24" customHeight="1">
      <c r="A17" s="40" t="s">
        <v>193</v>
      </c>
      <c r="B17" s="40" t="s">
        <v>197</v>
      </c>
      <c r="D17" s="40" t="s">
        <v>193</v>
      </c>
      <c r="E17" s="40" t="s">
        <v>149</v>
      </c>
    </row>
    <row r="18" spans="1:5" ht="24" customHeight="1">
      <c r="A18" s="36" t="s">
        <v>207</v>
      </c>
      <c r="B18" s="35">
        <f>'2_GWP_Calculations'!B22</f>
        <v>0.70744369114152628</v>
      </c>
      <c r="D18" s="36" t="s">
        <v>201</v>
      </c>
      <c r="E18" s="38">
        <f>'2_GWP_Calculations'!B21/'3_Cost_Calculations'!B21</f>
        <v>0.21282423052461627</v>
      </c>
    </row>
    <row r="19" spans="1:5" ht="24" customHeight="1">
      <c r="A19" s="36" t="s">
        <v>208</v>
      </c>
      <c r="B19" s="35">
        <f>'3_Cost_Calculations'!B22</f>
        <v>0.37809873026566054</v>
      </c>
    </row>
    <row r="20" spans="1:5" ht="24" customHeight="1"/>
    <row r="21" spans="1:5" ht="24" customHeight="1"/>
    <row r="22" spans="1:5" ht="24" customHeight="1"/>
    <row r="23" spans="1:5" ht="24" customHeight="1"/>
    <row r="24" spans="1:5" ht="24" customHeight="1"/>
    <row r="25" spans="1:5" ht="24" customHeight="1"/>
    <row r="26" spans="1:5" ht="24" customHeight="1"/>
    <row r="27" spans="1:5" ht="24" customHeight="1"/>
    <row r="28" spans="1:5" ht="24" customHeight="1"/>
    <row r="29" spans="1:5" ht="24" customHeight="1"/>
    <row r="30" spans="1:5" ht="24" customHeight="1"/>
    <row r="31" spans="1:5" ht="24" customHeight="1"/>
    <row r="32" spans="1:5" ht="24" customHeight="1"/>
    <row r="33" ht="24" customHeight="1"/>
    <row r="34" ht="24" customHeight="1"/>
    <row r="35" ht="24" customHeight="1"/>
    <row r="36" ht="24" customHeight="1"/>
    <row r="37" ht="24" customHeight="1"/>
    <row r="38" ht="24" customHeight="1"/>
    <row r="39" ht="24" customHeight="1"/>
    <row r="40" ht="24" customHeight="1"/>
    <row r="41" ht="24" customHeight="1"/>
    <row r="42" ht="24" customHeight="1"/>
    <row r="43" ht="24" customHeight="1"/>
    <row r="44" ht="24" customHeight="1"/>
    <row r="45" ht="24" customHeight="1"/>
    <row r="46" ht="24" customHeight="1"/>
    <row r="47" ht="24" customHeight="1"/>
    <row r="48" ht="24" customHeight="1"/>
    <row r="49" ht="24" customHeight="1"/>
  </sheetData>
  <mergeCells count="5">
    <mergeCell ref="D16:E16"/>
    <mergeCell ref="A16:B16"/>
    <mergeCell ref="A1:F1"/>
    <mergeCell ref="A9:B9"/>
    <mergeCell ref="D9:E9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1_Takeoff_Assumptions</vt:lpstr>
      <vt:lpstr>2_GWP_Calculations</vt:lpstr>
      <vt:lpstr>3_Cost_Calculations</vt:lpstr>
      <vt:lpstr>4_Cost_vs_Carbon_Savings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Mohamed Ibrahim</cp:lastModifiedBy>
  <dcterms:created xsi:type="dcterms:W3CDTF">2026-05-02T20:19:44Z</dcterms:created>
  <dcterms:modified xsi:type="dcterms:W3CDTF">2026-05-06T23:45:35Z</dcterms:modified>
</cp:coreProperties>
</file>