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mpc\Dropbox\COBALT Analysis\Manuscript\"/>
    </mc:Choice>
  </mc:AlternateContent>
  <bookViews>
    <workbookView xWindow="0" yWindow="0" windowWidth="20490" windowHeight="762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I3" i="1"/>
  <c r="I4" i="1"/>
  <c r="H5" i="1"/>
  <c r="I5" i="1" s="1"/>
  <c r="H6" i="1"/>
  <c r="I6" i="1"/>
  <c r="H7" i="1"/>
  <c r="H8" i="1"/>
  <c r="H9" i="1"/>
  <c r="H10" i="1"/>
  <c r="H11" i="1"/>
  <c r="H12" i="1"/>
  <c r="H13" i="1"/>
  <c r="H14" i="1"/>
  <c r="H15" i="1"/>
  <c r="H16" i="1"/>
  <c r="H17" i="1"/>
  <c r="H18" i="1"/>
  <c r="H19" i="1"/>
  <c r="H20" i="1"/>
  <c r="H21" i="1"/>
  <c r="H22" i="1"/>
  <c r="H23" i="1"/>
  <c r="H24" i="1"/>
  <c r="H25" i="1"/>
  <c r="E26" i="1" l="1"/>
  <c r="D26" i="1"/>
  <c r="D13" i="1"/>
  <c r="E13" i="1" s="1"/>
  <c r="C13" i="1" s="1"/>
  <c r="I13" i="1" s="1"/>
  <c r="C25" i="1"/>
  <c r="I25" i="1" s="1"/>
  <c r="C24" i="1"/>
  <c r="I24" i="1" s="1"/>
  <c r="C23" i="1"/>
  <c r="I23" i="1" s="1"/>
  <c r="C22" i="1"/>
  <c r="I22" i="1" s="1"/>
  <c r="C21" i="1"/>
  <c r="I21" i="1" s="1"/>
  <c r="C19" i="1"/>
  <c r="I19" i="1" s="1"/>
  <c r="C18" i="1"/>
  <c r="I18" i="1" s="1"/>
  <c r="C16" i="1"/>
  <c r="I16" i="1" s="1"/>
  <c r="C15" i="1"/>
  <c r="I15" i="1" s="1"/>
  <c r="C14" i="1"/>
  <c r="I14" i="1" s="1"/>
  <c r="C11" i="1"/>
  <c r="I11" i="1" s="1"/>
  <c r="C9" i="1"/>
  <c r="I9" i="1" s="1"/>
  <c r="C8" i="1"/>
  <c r="I8" i="1" s="1"/>
  <c r="C7" i="1"/>
  <c r="I7" i="1" s="1"/>
  <c r="C26" i="1"/>
  <c r="I26" i="1" s="1"/>
  <c r="E20" i="1" l="1"/>
  <c r="D20" i="1"/>
  <c r="C20" i="1" s="1"/>
  <c r="I20" i="1" s="1"/>
  <c r="E17" i="1"/>
  <c r="D17" i="1"/>
  <c r="C17" i="1" s="1"/>
  <c r="I17" i="1" s="1"/>
  <c r="E10" i="1"/>
  <c r="D10" i="1"/>
  <c r="C10" i="1" s="1"/>
  <c r="I10" i="1" s="1"/>
  <c r="E12" i="1"/>
  <c r="D12" i="1"/>
  <c r="C12" i="1" s="1"/>
  <c r="I12" i="1" s="1"/>
</calcChain>
</file>

<file path=xl/sharedStrings.xml><?xml version="1.0" encoding="utf-8"?>
<sst xmlns="http://schemas.openxmlformats.org/spreadsheetml/2006/main" count="132" uniqueCount="72">
  <si>
    <t>Cost Estimates</t>
  </si>
  <si>
    <t>Assumed tablet meds, did not include discontinued meds</t>
  </si>
  <si>
    <t>Item</t>
  </si>
  <si>
    <t>Category</t>
  </si>
  <si>
    <t>Mean</t>
  </si>
  <si>
    <t>Maximum</t>
  </si>
  <si>
    <t>References</t>
  </si>
  <si>
    <t>Notes</t>
  </si>
  <si>
    <t>Inpatient hospitaliation/night</t>
  </si>
  <si>
    <t>Inpatient</t>
  </si>
  <si>
    <t>Assumed-Inpatient General ward – Facility Fee (Day) (normal room)</t>
  </si>
  <si>
    <t>Viral load/measurement</t>
  </si>
  <si>
    <t>Laboratory</t>
  </si>
  <si>
    <t>FDC/day</t>
  </si>
  <si>
    <t>Medication</t>
  </si>
  <si>
    <t>Database of Medicines Prices (15th Sept 2018)</t>
  </si>
  <si>
    <t>Tenofovir/day</t>
  </si>
  <si>
    <t xml:space="preserve">EML Guidelines: Tenofovir, oral tablet, 300mg daily for 4 weeks </t>
  </si>
  <si>
    <t>Lamivudine/day</t>
  </si>
  <si>
    <t xml:space="preserve">EML Guidelines: Lamivudine, oral tablet, 300mg daily for 4 weeks </t>
  </si>
  <si>
    <t>Stavudine/day</t>
  </si>
  <si>
    <t>Efavirenz/day</t>
  </si>
  <si>
    <t xml:space="preserve">EML Guidelines:Efavirenz, oral tablet, 600mg at night </t>
  </si>
  <si>
    <t>Zidovudine/day</t>
  </si>
  <si>
    <t>EML Guidelines:Zidovudine, oral tablet, 300mg 12 hourly</t>
  </si>
  <si>
    <t>Nevirapine/day</t>
  </si>
  <si>
    <t>EML Guidelines:Nevirapine, oral tablet, 200 mg daily for 14 days, then 200 mg 12 hourly</t>
  </si>
  <si>
    <t>Emtricitabine/day</t>
  </si>
  <si>
    <t>EML Guidelines:Emtricitabine, oral tablet, 200 mg daily</t>
  </si>
  <si>
    <t>Abacavir/day</t>
  </si>
  <si>
    <t>EML Guidelines:Abacavir oral tablet, 600mg daily</t>
  </si>
  <si>
    <t>Aluvia/day</t>
  </si>
  <si>
    <t>Amitriptyline/day</t>
  </si>
  <si>
    <t>Fluoxetine/day</t>
  </si>
  <si>
    <t>Citalopram/day</t>
  </si>
  <si>
    <t>Imipramine/day</t>
  </si>
  <si>
    <t>Clomipramine/day</t>
  </si>
  <si>
    <t>Dothiepin/day</t>
  </si>
  <si>
    <t>Mianserin/day</t>
  </si>
  <si>
    <t>Venlafaxine/day</t>
  </si>
  <si>
    <t>Escitalopram/day</t>
  </si>
  <si>
    <t>Primary care/visit</t>
  </si>
  <si>
    <t>Outpatient</t>
  </si>
  <si>
    <t>UPFS 2018, DA1011</t>
  </si>
  <si>
    <t>Assumed- Outpatient Consultation – General medical practitioner</t>
  </si>
  <si>
    <t>Personal vehicle fuel/km</t>
  </si>
  <si>
    <t>Travel</t>
  </si>
  <si>
    <t>Ambulance/ride</t>
  </si>
  <si>
    <t>UPFS 2018, DA1410</t>
  </si>
  <si>
    <t>Patient transport service – Facility Fee (100km)</t>
  </si>
  <si>
    <t>UPFS 2018, DA0610: 'Annexure A2 Upfs2018 Tariffs 01 April 2018 Full Paying
Download'  http://www.health.gov.za/index.php/shortcodes/2015-03-29-10-42-47/2015-04-30-09-10-23/uniform-patient-fee-schedule/category/448-upfs-2018</t>
  </si>
  <si>
    <t>EML Guidelines: Assumed for first line major depressive disorder- Fluoxetine, oral, Initial dose: 20mg, if there is no or partial response after 4-8 weeks, increase to 40 mg, if well tolerated (20mg costed only)</t>
  </si>
  <si>
    <t>EML Guidelines: Assumed for first line major depressive disorder-Citalopram, oral, Initial dose: 20mg, if there is no or partial response after 4-8 weeks, increase to 40 mg, if well tolerated (20mg costed only)</t>
  </si>
  <si>
    <t>BNF: Medicines Complete: Depressive Illness:Adult Initially up to 75 mg daily in divided doses, then increased to 150–200 mg daily, up to 150 mg may be given as a single dose at bedtime, dose to be increased gradually. (75mg costed)</t>
  </si>
  <si>
    <t>BNF: Medicines Complete: Depressive Illness:Adult Initially 10 mg daily, then increased if necessary to 30–150 mg daily in divided doses, dose to be increased gradually, alternatively increased if necessary to 30–150 mg once daily, dose to be taken at bedtime; maximum 250 mg per day. (10mg costed)</t>
  </si>
  <si>
    <t xml:space="preserve">*Assumed Dosulepin: BNF: Medicines Complete: Depressive Illness:Adults: Initially 75 mg daily in divided doses, alternatively initially 75 mg once daily, dose to be taken at bedtime, increased if necessary to 150 mg daily, doses to be increased gradually; up to 225 mg daily in some circumstances (e.g. hospital use). (75mg costed)
</t>
  </si>
  <si>
    <t xml:space="preserve">BNF: Medicines Complete: Depressive Illness:Adults: Initially 30–40 mg daily in divided doses, alternatively initially 30–40 mg once daily, dose to be taken at bedtime, increase dose gradually as necessary; usual dose 30–90 mg. (30mg costed)
</t>
  </si>
  <si>
    <t xml:space="preserve">BNF: Medicines Complete: Major Depression :Adults:Initially 75 mg daily in 2 divided doses, then increased if necessary up to 375 mg daily, dose to be increased if necessary at intervals of at least 2 weeks, faster dose titration may be necessary in some patients; maximum 375 mg per day. (costed 75mg)
</t>
  </si>
  <si>
    <t xml:space="preserve">BNF: Medicines Complete:Social anxiety disorder:Adults:Initially 5 mg once daily for 7 days, then increased to 10 mg daily; maximum 20 mg per day. (costed 10 mg)
</t>
  </si>
  <si>
    <t xml:space="preserve">Assumed daily dose </t>
  </si>
  <si>
    <t>BNF: Medicines complete -Adult (body-weight up to 60 kg)-30 mg every 12 hours, to be taken preferably at least 1 hour before food. Or 40mg every 12 hours if body weight over 60kg (mean cost of 30mg and 40mg unit prices costed)</t>
  </si>
  <si>
    <t>(Assumed for depression) BNF: Medicines complete -Major depressive disorder [not recommended—increased risk of fatality in overdose], By mouth, Adult Initially 50 mg daily in 2 divided doses, then increased in steps of 25 mg once daily on alternate days if required, maximum 150 mg daily in 2 divided doses. (costed 50 mg)</t>
  </si>
  <si>
    <t>EML Guidelines:Aluvia (Lopinavir) oral tablet, 100mg 12 hourly OR 200mg daily (costed 200mg only)</t>
  </si>
  <si>
    <t>Currency</t>
  </si>
  <si>
    <t>Year</t>
  </si>
  <si>
    <t>SARS https://www.sars.gov.za/Tax-Rates/Employers/Pages/Rates-per-kilometer.aspx</t>
  </si>
  <si>
    <t>ZAR</t>
  </si>
  <si>
    <t>NHLS State Price List 2013 code 5581</t>
  </si>
  <si>
    <t>Currency Conversion Ratio (year:2017)</t>
  </si>
  <si>
    <t>Output (2017 ZAR)</t>
  </si>
  <si>
    <t>5581 Viral Load 305.61, http://www.nhls.ac.za/assets/files/an_report/NHLS_AR_2016_17.pdf</t>
  </si>
  <si>
    <t>Minimum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</si>
</sst>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b/>
      <sz val="10"/>
      <color rgb="FF4C4C4C"/>
      <name val="Verdana"/>
      <family val="2"/>
    </font>
    <font>
      <sz val="10"/>
      <color rgb="FF4C4C4C"/>
      <name val="Verdana"/>
      <family val="2"/>
    </font>
  </fonts>
  <fills count="3">
    <fill>
      <patternFill patternType="none"/>
    </fill>
    <fill>
      <patternFill patternType="gray125"/>
    </fill>
    <fill>
      <patternFill patternType="solid">
        <fgColor theme="1" tint="0.249977111117893"/>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3" fillId="0" borderId="0" xfId="0" applyFont="1"/>
    <xf numFmtId="0" fontId="4" fillId="0" borderId="0" xfId="0" applyFont="1"/>
    <xf numFmtId="0" fontId="3" fillId="0" borderId="0" xfId="0" applyFont="1" applyAlignment="1"/>
    <xf numFmtId="0" fontId="5" fillId="0" borderId="0" xfId="0" applyFont="1" applyAlignment="1">
      <alignment vertical="center"/>
    </xf>
    <xf numFmtId="0" fontId="6" fillId="0" borderId="0" xfId="0" applyFont="1" applyAlignment="1">
      <alignment vertical="center"/>
    </xf>
    <xf numFmtId="2" fontId="3" fillId="0" borderId="0" xfId="0" applyNumberFormat="1" applyFont="1" applyAlignment="1">
      <alignment horizontal="right"/>
    </xf>
    <xf numFmtId="0" fontId="3" fillId="0" borderId="0" xfId="0" applyFont="1" applyAlignment="1">
      <alignment horizontal="right"/>
    </xf>
    <xf numFmtId="0" fontId="1" fillId="2" borderId="0" xfId="0" applyFont="1" applyFill="1" applyAlignment="1">
      <alignment horizontal="left"/>
    </xf>
    <xf numFmtId="0" fontId="4" fillId="0" borderId="0" xfId="0" applyFont="1" applyAlignment="1">
      <alignment horizontal="left"/>
    </xf>
    <xf numFmtId="0" fontId="2" fillId="2" borderId="0" xfId="0" applyFont="1" applyFill="1" applyAlignment="1">
      <alignment horizontal="center"/>
    </xf>
    <xf numFmtId="0" fontId="1" fillId="2" borderId="0" xfId="0" applyFont="1" applyFill="1" applyAlignment="1">
      <alignment horizontal="center"/>
    </xf>
  </cellXfs>
  <cellStyles count="1">
    <cellStyle name="Normal" xfId="0" builtinId="0"/>
  </cellStyles>
  <dxfs count="13">
    <dxf>
      <font>
        <strike val="0"/>
        <outline val="0"/>
        <shadow val="0"/>
        <vertAlign val="baseline"/>
        <sz val="10"/>
      </font>
    </dxf>
    <dxf>
      <font>
        <strike val="0"/>
        <outline val="0"/>
        <shadow val="0"/>
        <vertAlign val="baseline"/>
        <sz val="10"/>
      </font>
    </dxf>
    <dxf>
      <font>
        <b val="0"/>
        <i val="0"/>
        <strike val="0"/>
        <condense val="0"/>
        <extend val="0"/>
        <outline val="0"/>
        <shadow val="0"/>
        <u val="none"/>
        <vertAlign val="baseline"/>
        <sz val="10"/>
        <color theme="1"/>
        <name val="Calibri"/>
        <scheme val="minor"/>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0"/>
        <color theme="1"/>
        <name val="Calibri"/>
        <scheme val="minor"/>
      </font>
      <alignment horizontal="right" vertical="bottom" textRotation="0" wrapText="0" indent="0" justifyLastLine="0" shrinkToFit="0" readingOrder="0"/>
    </dxf>
    <dxf>
      <font>
        <strike val="0"/>
        <outline val="0"/>
        <shadow val="0"/>
        <vertAlign val="baseline"/>
        <sz val="10"/>
      </font>
      <alignment horizontal="right" vertical="bottom" textRotation="0" wrapText="0" indent="0" justifyLastLine="0" shrinkToFit="0" readingOrder="0"/>
    </dxf>
    <dxf>
      <font>
        <strike val="0"/>
        <outline val="0"/>
        <shadow val="0"/>
        <vertAlign val="baseline"/>
        <sz val="10"/>
      </font>
      <alignment horizontal="right" vertical="bottom" textRotation="0" wrapText="0" indent="0" justifyLastLine="0" shrinkToFit="0" readingOrder="0"/>
    </dxf>
    <dxf>
      <font>
        <strike val="0"/>
        <outline val="0"/>
        <shadow val="0"/>
        <vertAlign val="baseline"/>
        <sz val="10"/>
      </font>
      <numFmt numFmtId="2" formatCode="0.00"/>
      <alignment horizontal="right" vertical="bottom" textRotation="0" wrapText="0" indent="0" justifyLastLine="0" shrinkToFit="0" readingOrder="0"/>
    </dxf>
    <dxf>
      <font>
        <b/>
        <strike val="0"/>
        <outline val="0"/>
        <shadow val="0"/>
        <vertAlign val="baseline"/>
        <sz val="10"/>
      </font>
    </dxf>
    <dxf>
      <font>
        <strike val="0"/>
        <outline val="0"/>
        <shadow val="0"/>
        <vertAlign val="baseline"/>
        <sz val="10"/>
      </font>
    </dxf>
    <dxf>
      <font>
        <strike val="0"/>
        <outline val="0"/>
        <shadow val="0"/>
        <vertAlign val="baseline"/>
        <sz val="10"/>
      </font>
    </dxf>
    <dxf>
      <font>
        <b/>
        <i val="0"/>
        <strike val="0"/>
        <condense val="0"/>
        <extend val="0"/>
        <outline val="0"/>
        <shadow val="0"/>
        <u val="none"/>
        <vertAlign val="baseline"/>
        <sz val="10"/>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K26" totalsRowShown="0" headerRowDxfId="12" dataDxfId="11">
  <autoFilter ref="A2:K26"/>
  <tableColumns count="11">
    <tableColumn id="2" name="Category" dataDxfId="10"/>
    <tableColumn id="1" name="Item" dataDxfId="9"/>
    <tableColumn id="6" name="Mean" dataDxfId="8"/>
    <tableColumn id="7" name="Minimum" dataDxfId="7"/>
    <tableColumn id="8" name="Maximum" dataDxfId="6"/>
    <tableColumn id="13" name="Currency" dataDxfId="5"/>
    <tableColumn id="14" name="Year" dataDxfId="4"/>
    <tableColumn id="16" name="Currency Conversion Ratio (year:2017)" dataDxfId="3"/>
    <tableColumn id="15" name="Output (2017 ZAR)" dataDxfId="2">
      <calculatedColumnFormula>Table1[[#This Row],[Mean]]*Table1[[#This Row],[Currency Conversion Ratio (year:2017)]]</calculatedColumnFormula>
    </tableColumn>
    <tableColumn id="10" name="References" dataDxfId="1"/>
    <tableColumn id="11" name="Notes"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workbookViewId="0">
      <selection activeCell="D3" sqref="D3"/>
    </sheetView>
  </sheetViews>
  <sheetFormatPr defaultRowHeight="12.75" x14ac:dyDescent="0.2"/>
  <cols>
    <col min="1" max="1" width="12.85546875" style="2" customWidth="1"/>
    <col min="2" max="2" width="31" style="2" customWidth="1"/>
    <col min="3" max="3" width="11" style="8" customWidth="1"/>
    <col min="4" max="4" width="9.7109375" style="8" customWidth="1"/>
    <col min="5" max="5" width="13" style="8" customWidth="1"/>
    <col min="6" max="8" width="11.42578125" style="8" customWidth="1"/>
    <col min="9" max="9" width="14.5703125" style="8" customWidth="1"/>
    <col min="10" max="10" width="36.28515625" style="2" customWidth="1"/>
    <col min="11" max="11" width="42.5703125" style="2" customWidth="1"/>
    <col min="12" max="12" width="9.140625" style="2" customWidth="1"/>
    <col min="13" max="16384" width="9.140625" style="2"/>
  </cols>
  <sheetData>
    <row r="1" spans="1:11" x14ac:dyDescent="0.2">
      <c r="A1" s="1"/>
      <c r="B1" s="1"/>
      <c r="C1" s="11" t="s">
        <v>0</v>
      </c>
      <c r="D1" s="12"/>
      <c r="E1" s="12"/>
      <c r="F1" s="9"/>
      <c r="G1" s="9"/>
      <c r="H1" s="9"/>
      <c r="I1" s="9"/>
      <c r="J1" s="1"/>
      <c r="K1" s="1"/>
    </row>
    <row r="2" spans="1:11" x14ac:dyDescent="0.2">
      <c r="A2" s="3" t="s">
        <v>3</v>
      </c>
      <c r="B2" s="3" t="s">
        <v>2</v>
      </c>
      <c r="C2" s="10" t="s">
        <v>4</v>
      </c>
      <c r="D2" s="10" t="s">
        <v>71</v>
      </c>
      <c r="E2" s="10" t="s">
        <v>5</v>
      </c>
      <c r="F2" s="10" t="s">
        <v>63</v>
      </c>
      <c r="G2" s="10" t="s">
        <v>64</v>
      </c>
      <c r="H2" s="10" t="s">
        <v>68</v>
      </c>
      <c r="I2" s="10" t="s">
        <v>69</v>
      </c>
      <c r="J2" s="3" t="s">
        <v>6</v>
      </c>
      <c r="K2" s="3" t="s">
        <v>7</v>
      </c>
    </row>
    <row r="3" spans="1:11" ht="14.25" customHeight="1" x14ac:dyDescent="0.2">
      <c r="A3" s="2" t="s">
        <v>9</v>
      </c>
      <c r="B3" s="3" t="s">
        <v>8</v>
      </c>
      <c r="C3" s="7">
        <v>1832</v>
      </c>
      <c r="F3" s="8" t="s">
        <v>66</v>
      </c>
      <c r="G3" s="8">
        <v>2018</v>
      </c>
      <c r="H3" s="7">
        <f t="shared" ref="H3:H25" si="0">1/1.045</f>
        <v>0.95693779904306231</v>
      </c>
      <c r="I3" s="7">
        <f>Table1[[#This Row],[Mean]]*Table1[[#This Row],[Currency Conversion Ratio (year:2017)]]</f>
        <v>1753.1100478468902</v>
      </c>
      <c r="J3" s="4" t="s">
        <v>50</v>
      </c>
      <c r="K3" s="4" t="s">
        <v>10</v>
      </c>
    </row>
    <row r="4" spans="1:11" x14ac:dyDescent="0.2">
      <c r="A4" s="2" t="s">
        <v>12</v>
      </c>
      <c r="B4" s="3" t="s">
        <v>11</v>
      </c>
      <c r="C4" s="7">
        <v>305.61</v>
      </c>
      <c r="F4" s="8" t="s">
        <v>66</v>
      </c>
      <c r="G4" s="8">
        <v>2013</v>
      </c>
      <c r="H4" s="7">
        <v>1.2484</v>
      </c>
      <c r="I4" s="7">
        <f>Table1[[#This Row],[Mean]]*Table1[[#This Row],[Currency Conversion Ratio (year:2017)]]</f>
        <v>381.52352400000001</v>
      </c>
      <c r="J4" s="2" t="s">
        <v>67</v>
      </c>
      <c r="K4" s="2" t="s">
        <v>70</v>
      </c>
    </row>
    <row r="5" spans="1:11" x14ac:dyDescent="0.2">
      <c r="A5" s="2" t="s">
        <v>42</v>
      </c>
      <c r="B5" s="3" t="s">
        <v>41</v>
      </c>
      <c r="C5" s="7">
        <v>104</v>
      </c>
      <c r="F5" s="8" t="s">
        <v>66</v>
      </c>
      <c r="G5" s="8">
        <v>2018</v>
      </c>
      <c r="H5" s="7">
        <f>1/1.045</f>
        <v>0.95693779904306231</v>
      </c>
      <c r="I5" s="7">
        <f>Table1[[#This Row],[Mean]]*Table1[[#This Row],[Currency Conversion Ratio (year:2017)]]</f>
        <v>99.521531100478484</v>
      </c>
      <c r="J5" s="2" t="s">
        <v>43</v>
      </c>
      <c r="K5" s="4" t="s">
        <v>44</v>
      </c>
    </row>
    <row r="6" spans="1:11" x14ac:dyDescent="0.2">
      <c r="A6" s="2" t="s">
        <v>46</v>
      </c>
      <c r="B6" s="3" t="s">
        <v>47</v>
      </c>
      <c r="C6" s="7">
        <v>400</v>
      </c>
      <c r="F6" s="8" t="s">
        <v>66</v>
      </c>
      <c r="G6" s="8">
        <v>2018</v>
      </c>
      <c r="H6" s="7">
        <f>1/1.045</f>
        <v>0.95693779904306231</v>
      </c>
      <c r="I6" s="7">
        <f>Table1[[#This Row],[Mean]]*Table1[[#This Row],[Currency Conversion Ratio (year:2017)]]</f>
        <v>382.7751196172249</v>
      </c>
      <c r="J6" s="2" t="s">
        <v>48</v>
      </c>
      <c r="K6" s="4" t="s">
        <v>49</v>
      </c>
    </row>
    <row r="7" spans="1:11" x14ac:dyDescent="0.2">
      <c r="A7" s="2" t="s">
        <v>14</v>
      </c>
      <c r="B7" s="3" t="s">
        <v>13</v>
      </c>
      <c r="C7" s="7">
        <f>(Table1[[#This Row],[Minimum]]+Table1[[#This Row],[Maximum]])/2</f>
        <v>1.4667945</v>
      </c>
      <c r="D7" s="7">
        <v>1.1339349999999999</v>
      </c>
      <c r="E7" s="7">
        <v>1.7996540000000001</v>
      </c>
      <c r="F7" s="8" t="s">
        <v>66</v>
      </c>
      <c r="G7" s="8">
        <v>2018</v>
      </c>
      <c r="H7" s="7">
        <f t="shared" si="0"/>
        <v>0.95693779904306231</v>
      </c>
      <c r="I7" s="7">
        <f>Table1[[#This Row],[Mean]]*Table1[[#This Row],[Currency Conversion Ratio (year:2017)]]</f>
        <v>1.403631100478469</v>
      </c>
      <c r="J7" s="2" t="s">
        <v>15</v>
      </c>
      <c r="K7" s="2" t="s">
        <v>59</v>
      </c>
    </row>
    <row r="8" spans="1:11" x14ac:dyDescent="0.2">
      <c r="A8" s="2" t="s">
        <v>14</v>
      </c>
      <c r="B8" s="3" t="s">
        <v>16</v>
      </c>
      <c r="C8" s="7">
        <f>(Table1[[#This Row],[Minimum]]+Table1[[#This Row],[Maximum]])/2</f>
        <v>13.659330000000001</v>
      </c>
      <c r="D8" s="7">
        <v>11.614879999999999</v>
      </c>
      <c r="E8" s="7">
        <v>15.70378</v>
      </c>
      <c r="F8" s="8" t="s">
        <v>66</v>
      </c>
      <c r="G8" s="8">
        <v>2018</v>
      </c>
      <c r="H8" s="7">
        <f t="shared" si="0"/>
        <v>0.95693779904306231</v>
      </c>
      <c r="I8" s="7">
        <f>Table1[[#This Row],[Mean]]*Table1[[#This Row],[Currency Conversion Ratio (year:2017)]]</f>
        <v>13.071129186602873</v>
      </c>
      <c r="J8" s="2" t="s">
        <v>15</v>
      </c>
      <c r="K8" s="2" t="s">
        <v>17</v>
      </c>
    </row>
    <row r="9" spans="1:11" x14ac:dyDescent="0.2">
      <c r="A9" s="2" t="s">
        <v>14</v>
      </c>
      <c r="B9" s="3" t="s">
        <v>18</v>
      </c>
      <c r="C9" s="7">
        <f>(Table1[[#This Row],[Minimum]]+Table1[[#This Row],[Maximum]])/2</f>
        <v>5.85656</v>
      </c>
      <c r="D9" s="7">
        <v>4.6884309999999996</v>
      </c>
      <c r="E9" s="7">
        <v>7.0246890000000004</v>
      </c>
      <c r="F9" s="8" t="s">
        <v>66</v>
      </c>
      <c r="G9" s="8">
        <v>2018</v>
      </c>
      <c r="H9" s="7">
        <f t="shared" si="0"/>
        <v>0.95693779904306231</v>
      </c>
      <c r="I9" s="7">
        <f>Table1[[#This Row],[Mean]]*Table1[[#This Row],[Currency Conversion Ratio (year:2017)]]</f>
        <v>5.6043636363636367</v>
      </c>
      <c r="J9" s="2" t="s">
        <v>15</v>
      </c>
      <c r="K9" s="2" t="s">
        <v>19</v>
      </c>
    </row>
    <row r="10" spans="1:11" x14ac:dyDescent="0.2">
      <c r="A10" s="2" t="s">
        <v>14</v>
      </c>
      <c r="B10" s="3" t="s">
        <v>20</v>
      </c>
      <c r="C10" s="7">
        <f>(Table1[[#This Row],[Minimum]]+Table1[[#This Row],[Maximum]])/2</f>
        <v>4.260999</v>
      </c>
      <c r="D10" s="7">
        <f>(1.69928)*2</f>
        <v>3.3985599999999998</v>
      </c>
      <c r="E10" s="7">
        <f>(2.561719)*2</f>
        <v>5.1234380000000002</v>
      </c>
      <c r="F10" s="8" t="s">
        <v>66</v>
      </c>
      <c r="G10" s="8">
        <v>2018</v>
      </c>
      <c r="H10" s="7">
        <f t="shared" si="0"/>
        <v>0.95693779904306231</v>
      </c>
      <c r="I10" s="7">
        <f>Table1[[#This Row],[Mean]]*Table1[[#This Row],[Currency Conversion Ratio (year:2017)]]</f>
        <v>4.0775110047846894</v>
      </c>
      <c r="J10" s="2" t="s">
        <v>15</v>
      </c>
      <c r="K10" s="2" t="s">
        <v>60</v>
      </c>
    </row>
    <row r="11" spans="1:11" x14ac:dyDescent="0.2">
      <c r="A11" s="2" t="s">
        <v>14</v>
      </c>
      <c r="B11" s="3" t="s">
        <v>21</v>
      </c>
      <c r="C11" s="7">
        <f>(Table1[[#This Row],[Minimum]]+Table1[[#This Row],[Maximum]])/2</f>
        <v>13.46312</v>
      </c>
      <c r="D11" s="7">
        <v>11.490360000000001</v>
      </c>
      <c r="E11" s="7">
        <v>15.435879999999999</v>
      </c>
      <c r="F11" s="8" t="s">
        <v>66</v>
      </c>
      <c r="G11" s="8">
        <v>2018</v>
      </c>
      <c r="H11" s="7">
        <f t="shared" si="0"/>
        <v>0.95693779904306231</v>
      </c>
      <c r="I11" s="7">
        <f>Table1[[#This Row],[Mean]]*Table1[[#This Row],[Currency Conversion Ratio (year:2017)]]</f>
        <v>12.883368421052634</v>
      </c>
      <c r="J11" s="2" t="s">
        <v>15</v>
      </c>
      <c r="K11" s="2" t="s">
        <v>22</v>
      </c>
    </row>
    <row r="12" spans="1:11" x14ac:dyDescent="0.2">
      <c r="A12" s="2" t="s">
        <v>14</v>
      </c>
      <c r="B12" s="3" t="s">
        <v>23</v>
      </c>
      <c r="C12" s="7">
        <f>(Table1[[#This Row],[Minimum]]+Table1[[#This Row],[Maximum]])/2</f>
        <v>14.192937000000001</v>
      </c>
      <c r="D12" s="7">
        <f>(6.0559)*2</f>
        <v>12.111800000000001</v>
      </c>
      <c r="E12" s="7">
        <f>(8.137037)*2</f>
        <v>16.274073999999999</v>
      </c>
      <c r="F12" s="8" t="s">
        <v>66</v>
      </c>
      <c r="G12" s="8">
        <v>2018</v>
      </c>
      <c r="H12" s="7">
        <f t="shared" si="0"/>
        <v>0.95693779904306231</v>
      </c>
      <c r="I12" s="7">
        <f>Table1[[#This Row],[Mean]]*Table1[[#This Row],[Currency Conversion Ratio (year:2017)]]</f>
        <v>13.581757894736844</v>
      </c>
      <c r="J12" s="2" t="s">
        <v>15</v>
      </c>
      <c r="K12" s="2" t="s">
        <v>24</v>
      </c>
    </row>
    <row r="13" spans="1:11" x14ac:dyDescent="0.2">
      <c r="A13" s="2" t="s">
        <v>14</v>
      </c>
      <c r="B13" s="3" t="s">
        <v>25</v>
      </c>
      <c r="C13" s="7">
        <f>(Table1[[#This Row],[Minimum]]+Table1[[#This Row],[Maximum]])/2</f>
        <v>4.7763750000000007</v>
      </c>
      <c r="D13" s="7">
        <f>(2.4+4.6+4.2+4.44+4.6+4.59+4.6+4.49+4.45+2.28)/10</f>
        <v>4.0650000000000004</v>
      </c>
      <c r="E13" s="7">
        <f>Table1[[#This Row],[Minimum]]*1.35</f>
        <v>5.487750000000001</v>
      </c>
      <c r="F13" s="8" t="s">
        <v>66</v>
      </c>
      <c r="G13" s="8">
        <v>2018</v>
      </c>
      <c r="H13" s="7">
        <f t="shared" si="0"/>
        <v>0.95693779904306231</v>
      </c>
      <c r="I13" s="7">
        <f>Table1[[#This Row],[Mean]]*Table1[[#This Row],[Currency Conversion Ratio (year:2017)]]</f>
        <v>4.5706937799043077</v>
      </c>
      <c r="J13" s="2" t="s">
        <v>15</v>
      </c>
      <c r="K13" s="2" t="s">
        <v>26</v>
      </c>
    </row>
    <row r="14" spans="1:11" x14ac:dyDescent="0.2">
      <c r="A14" s="2" t="s">
        <v>14</v>
      </c>
      <c r="B14" s="3" t="s">
        <v>27</v>
      </c>
      <c r="C14" s="7">
        <f>(Table1[[#This Row],[Minimum]]+Table1[[#This Row],[Maximum]])/2</f>
        <v>15.79116</v>
      </c>
      <c r="D14" s="7">
        <v>13.625299999999999</v>
      </c>
      <c r="E14" s="7">
        <v>17.95702</v>
      </c>
      <c r="F14" s="8" t="s">
        <v>66</v>
      </c>
      <c r="G14" s="8">
        <v>2018</v>
      </c>
      <c r="H14" s="7">
        <f t="shared" si="0"/>
        <v>0.95693779904306231</v>
      </c>
      <c r="I14" s="7">
        <f>Table1[[#This Row],[Mean]]*Table1[[#This Row],[Currency Conversion Ratio (year:2017)]]</f>
        <v>15.111157894736843</v>
      </c>
      <c r="J14" s="2" t="s">
        <v>15</v>
      </c>
      <c r="K14" s="2" t="s">
        <v>28</v>
      </c>
    </row>
    <row r="15" spans="1:11" x14ac:dyDescent="0.2">
      <c r="A15" s="2" t="s">
        <v>14</v>
      </c>
      <c r="B15" s="3" t="s">
        <v>29</v>
      </c>
      <c r="C15" s="7">
        <f>(Table1[[#This Row],[Minimum]]+Table1[[#This Row],[Maximum]])/2</f>
        <v>23.993045000000002</v>
      </c>
      <c r="D15" s="7">
        <v>21.179580000000001</v>
      </c>
      <c r="E15" s="7">
        <v>26.806509999999999</v>
      </c>
      <c r="F15" s="8" t="s">
        <v>66</v>
      </c>
      <c r="G15" s="8">
        <v>2018</v>
      </c>
      <c r="H15" s="7">
        <f t="shared" si="0"/>
        <v>0.95693779904306231</v>
      </c>
      <c r="I15" s="7">
        <f>Table1[[#This Row],[Mean]]*Table1[[#This Row],[Currency Conversion Ratio (year:2017)]]</f>
        <v>22.959851674641154</v>
      </c>
      <c r="J15" s="2" t="s">
        <v>15</v>
      </c>
      <c r="K15" s="2" t="s">
        <v>30</v>
      </c>
    </row>
    <row r="16" spans="1:11" x14ac:dyDescent="0.2">
      <c r="A16" s="2" t="s">
        <v>14</v>
      </c>
      <c r="B16" s="3" t="s">
        <v>31</v>
      </c>
      <c r="C16" s="7">
        <f>(Table1[[#This Row],[Minimum]]+Table1[[#This Row],[Maximum]])/2</f>
        <v>3.3149999999999999</v>
      </c>
      <c r="D16" s="7">
        <v>2.78</v>
      </c>
      <c r="E16" s="7">
        <v>3.85</v>
      </c>
      <c r="F16" s="8" t="s">
        <v>66</v>
      </c>
      <c r="G16" s="8">
        <v>2018</v>
      </c>
      <c r="H16" s="7">
        <f t="shared" si="0"/>
        <v>0.95693779904306231</v>
      </c>
      <c r="I16" s="7">
        <f>Table1[[#This Row],[Mean]]*Table1[[#This Row],[Currency Conversion Ratio (year:2017)]]</f>
        <v>3.1722488038277517</v>
      </c>
      <c r="J16" s="2" t="s">
        <v>15</v>
      </c>
      <c r="K16" s="2" t="s">
        <v>62</v>
      </c>
    </row>
    <row r="17" spans="1:11" x14ac:dyDescent="0.2">
      <c r="A17" s="2" t="s">
        <v>14</v>
      </c>
      <c r="B17" s="3" t="s">
        <v>32</v>
      </c>
      <c r="C17" s="7">
        <f>(Table1[[#This Row],[Minimum]]+Table1[[#This Row],[Maximum]])/2</f>
        <v>2.8795630000000001</v>
      </c>
      <c r="D17" s="7">
        <f>(1.186194)*2</f>
        <v>2.3723879999999999</v>
      </c>
      <c r="E17" s="7">
        <f>(1.693369)*2</f>
        <v>3.3867379999999998</v>
      </c>
      <c r="F17" s="8" t="s">
        <v>66</v>
      </c>
      <c r="G17" s="8">
        <v>2018</v>
      </c>
      <c r="H17" s="7">
        <f t="shared" si="0"/>
        <v>0.95693779904306231</v>
      </c>
      <c r="I17" s="7">
        <f>Table1[[#This Row],[Mean]]*Table1[[#This Row],[Currency Conversion Ratio (year:2017)]]</f>
        <v>2.7555626794258377</v>
      </c>
      <c r="J17" s="2" t="s">
        <v>15</v>
      </c>
      <c r="K17" s="2" t="s">
        <v>61</v>
      </c>
    </row>
    <row r="18" spans="1:11" x14ac:dyDescent="0.2">
      <c r="A18" s="2" t="s">
        <v>14</v>
      </c>
      <c r="B18" s="3" t="s">
        <v>33</v>
      </c>
      <c r="C18" s="7">
        <f>(Table1[[#This Row],[Minimum]]+Table1[[#This Row],[Maximum]])/2</f>
        <v>4.1931259999999995</v>
      </c>
      <c r="D18" s="7">
        <v>3.3655970000000002</v>
      </c>
      <c r="E18" s="7">
        <v>5.0206549999999996</v>
      </c>
      <c r="F18" s="8" t="s">
        <v>66</v>
      </c>
      <c r="G18" s="8">
        <v>2018</v>
      </c>
      <c r="H18" s="7">
        <f t="shared" si="0"/>
        <v>0.95693779904306231</v>
      </c>
      <c r="I18" s="7">
        <f>Table1[[#This Row],[Mean]]*Table1[[#This Row],[Currency Conversion Ratio (year:2017)]]</f>
        <v>4.0125607655502389</v>
      </c>
      <c r="J18" s="2" t="s">
        <v>15</v>
      </c>
      <c r="K18" s="2" t="s">
        <v>51</v>
      </c>
    </row>
    <row r="19" spans="1:11" x14ac:dyDescent="0.2">
      <c r="A19" s="2" t="s">
        <v>14</v>
      </c>
      <c r="B19" s="3" t="s">
        <v>34</v>
      </c>
      <c r="C19" s="7">
        <f>(Table1[[#This Row],[Minimum]]+Table1[[#This Row],[Maximum]])/2</f>
        <v>4.4908595</v>
      </c>
      <c r="D19" s="7">
        <v>3.5447510000000002</v>
      </c>
      <c r="E19" s="7">
        <v>5.4369680000000002</v>
      </c>
      <c r="F19" s="8" t="s">
        <v>66</v>
      </c>
      <c r="G19" s="8">
        <v>2018</v>
      </c>
      <c r="H19" s="7">
        <f t="shared" si="0"/>
        <v>0.95693779904306231</v>
      </c>
      <c r="I19" s="7">
        <f>Table1[[#This Row],[Mean]]*Table1[[#This Row],[Currency Conversion Ratio (year:2017)]]</f>
        <v>4.2974732057416274</v>
      </c>
      <c r="J19" s="2" t="s">
        <v>15</v>
      </c>
      <c r="K19" s="2" t="s">
        <v>52</v>
      </c>
    </row>
    <row r="20" spans="1:11" x14ac:dyDescent="0.2">
      <c r="A20" s="2" t="s">
        <v>14</v>
      </c>
      <c r="B20" s="3" t="s">
        <v>35</v>
      </c>
      <c r="C20" s="7">
        <f>(Table1[[#This Row],[Minimum]]+Table1[[#This Row],[Maximum]])/2</f>
        <v>6.12906</v>
      </c>
      <c r="D20" s="7">
        <f>(1.727908)*3</f>
        <v>5.1837239999999998</v>
      </c>
      <c r="E20" s="7">
        <f>(2.358132)*3</f>
        <v>7.0743960000000001</v>
      </c>
      <c r="F20" s="8" t="s">
        <v>66</v>
      </c>
      <c r="G20" s="8">
        <v>2018</v>
      </c>
      <c r="H20" s="7">
        <f t="shared" si="0"/>
        <v>0.95693779904306231</v>
      </c>
      <c r="I20" s="7">
        <f>Table1[[#This Row],[Mean]]*Table1[[#This Row],[Currency Conversion Ratio (year:2017)]]</f>
        <v>5.8651291866028714</v>
      </c>
      <c r="J20" s="2" t="s">
        <v>15</v>
      </c>
      <c r="K20" s="2" t="s">
        <v>53</v>
      </c>
    </row>
    <row r="21" spans="1:11" x14ac:dyDescent="0.2">
      <c r="A21" s="2" t="s">
        <v>14</v>
      </c>
      <c r="B21" s="3" t="s">
        <v>36</v>
      </c>
      <c r="C21" s="7">
        <f>(Table1[[#This Row],[Minimum]]+Table1[[#This Row],[Maximum]])/2</f>
        <v>4.7009485</v>
      </c>
      <c r="D21" s="7">
        <v>3.8983490000000001</v>
      </c>
      <c r="E21" s="7">
        <v>5.5035480000000003</v>
      </c>
      <c r="F21" s="8" t="s">
        <v>66</v>
      </c>
      <c r="G21" s="8">
        <v>2018</v>
      </c>
      <c r="H21" s="7">
        <f t="shared" si="0"/>
        <v>0.95693779904306231</v>
      </c>
      <c r="I21" s="7">
        <f>Table1[[#This Row],[Mean]]*Table1[[#This Row],[Currency Conversion Ratio (year:2017)]]</f>
        <v>4.4985153110047849</v>
      </c>
      <c r="J21" s="2" t="s">
        <v>15</v>
      </c>
      <c r="K21" s="2" t="s">
        <v>54</v>
      </c>
    </row>
    <row r="22" spans="1:11" x14ac:dyDescent="0.2">
      <c r="A22" s="2" t="s">
        <v>14</v>
      </c>
      <c r="B22" s="3" t="s">
        <v>37</v>
      </c>
      <c r="C22" s="7">
        <f>(Table1[[#This Row],[Minimum]]+Table1[[#This Row],[Maximum]])/2</f>
        <v>6.3256999999999994</v>
      </c>
      <c r="D22" s="7">
        <v>5.0619129999999997</v>
      </c>
      <c r="E22" s="7">
        <v>7.5894870000000001</v>
      </c>
      <c r="F22" s="8" t="s">
        <v>66</v>
      </c>
      <c r="G22" s="8">
        <v>2018</v>
      </c>
      <c r="H22" s="7">
        <f t="shared" si="0"/>
        <v>0.95693779904306231</v>
      </c>
      <c r="I22" s="7">
        <f>Table1[[#This Row],[Mean]]*Table1[[#This Row],[Currency Conversion Ratio (year:2017)]]</f>
        <v>6.0533014354066985</v>
      </c>
      <c r="J22" s="2" t="s">
        <v>15</v>
      </c>
      <c r="K22" s="4" t="s">
        <v>55</v>
      </c>
    </row>
    <row r="23" spans="1:11" x14ac:dyDescent="0.2">
      <c r="A23" s="2" t="s">
        <v>14</v>
      </c>
      <c r="B23" s="3" t="s">
        <v>38</v>
      </c>
      <c r="C23" s="7">
        <f>(Table1[[#This Row],[Minimum]]+Table1[[#This Row],[Maximum]])/2</f>
        <v>13.099830000000001</v>
      </c>
      <c r="D23" s="7">
        <v>10.49869</v>
      </c>
      <c r="E23" s="7">
        <v>15.70097</v>
      </c>
      <c r="F23" s="8" t="s">
        <v>66</v>
      </c>
      <c r="G23" s="8">
        <v>2018</v>
      </c>
      <c r="H23" s="7">
        <f t="shared" si="0"/>
        <v>0.95693779904306231</v>
      </c>
      <c r="I23" s="7">
        <f>Table1[[#This Row],[Mean]]*Table1[[#This Row],[Currency Conversion Ratio (year:2017)]]</f>
        <v>12.53572248803828</v>
      </c>
      <c r="J23" s="2" t="s">
        <v>15</v>
      </c>
      <c r="K23" s="4" t="s">
        <v>56</v>
      </c>
    </row>
    <row r="24" spans="1:11" x14ac:dyDescent="0.2">
      <c r="A24" s="2" t="s">
        <v>14</v>
      </c>
      <c r="B24" s="3" t="s">
        <v>39</v>
      </c>
      <c r="C24" s="7">
        <f>(Table1[[#This Row],[Minimum]]+Table1[[#This Row],[Maximum]])/2</f>
        <v>9.5250769999999996</v>
      </c>
      <c r="D24" s="7">
        <v>7.9237739999999999</v>
      </c>
      <c r="E24" s="7">
        <v>11.126379999999999</v>
      </c>
      <c r="F24" s="8" t="s">
        <v>66</v>
      </c>
      <c r="G24" s="8">
        <v>2018</v>
      </c>
      <c r="H24" s="7">
        <f t="shared" si="0"/>
        <v>0.95693779904306231</v>
      </c>
      <c r="I24" s="7">
        <f>Table1[[#This Row],[Mean]]*Table1[[#This Row],[Currency Conversion Ratio (year:2017)]]</f>
        <v>9.1149062200956941</v>
      </c>
      <c r="J24" s="2" t="s">
        <v>15</v>
      </c>
      <c r="K24" s="4" t="s">
        <v>57</v>
      </c>
    </row>
    <row r="25" spans="1:11" x14ac:dyDescent="0.2">
      <c r="A25" s="2" t="s">
        <v>14</v>
      </c>
      <c r="B25" s="3" t="s">
        <v>40</v>
      </c>
      <c r="C25" s="7">
        <f>(Table1[[#This Row],[Minimum]]+Table1[[#This Row],[Maximum]])/2</f>
        <v>4.4310799999999997</v>
      </c>
      <c r="D25" s="7">
        <v>3.4700880000000001</v>
      </c>
      <c r="E25" s="7">
        <v>5.3920719999999998</v>
      </c>
      <c r="F25" s="8" t="s">
        <v>66</v>
      </c>
      <c r="G25" s="8">
        <v>2018</v>
      </c>
      <c r="H25" s="7">
        <f t="shared" si="0"/>
        <v>0.95693779904306231</v>
      </c>
      <c r="I25" s="7">
        <f>Table1[[#This Row],[Mean]]*Table1[[#This Row],[Currency Conversion Ratio (year:2017)]]</f>
        <v>4.2402679425837322</v>
      </c>
      <c r="J25" s="2" t="s">
        <v>15</v>
      </c>
      <c r="K25" s="4" t="s">
        <v>58</v>
      </c>
    </row>
    <row r="26" spans="1:11" x14ac:dyDescent="0.2">
      <c r="A26" s="2" t="s">
        <v>46</v>
      </c>
      <c r="B26" s="3" t="s">
        <v>45</v>
      </c>
      <c r="C26" s="7">
        <f>(Table1[[#This Row],[Minimum]]+Table1[[#This Row],[Maximum]])/2</f>
        <v>1.6460000000000001</v>
      </c>
      <c r="D26" s="8">
        <f>(82.4+30.8)/100</f>
        <v>1.1320000000000001</v>
      </c>
      <c r="E26" s="8">
        <f>(136.5+79.5)/100</f>
        <v>2.16</v>
      </c>
      <c r="F26" s="8" t="s">
        <v>66</v>
      </c>
      <c r="G26" s="8">
        <v>2017</v>
      </c>
      <c r="H26" s="7">
        <v>1</v>
      </c>
      <c r="I26" s="7">
        <f>Table1[[#This Row],[Mean]]*Table1[[#This Row],[Currency Conversion Ratio (year:2017)]]</f>
        <v>1.6460000000000001</v>
      </c>
      <c r="J26" s="2" t="s">
        <v>65</v>
      </c>
      <c r="K26" s="4"/>
    </row>
    <row r="28" spans="1:11" x14ac:dyDescent="0.2">
      <c r="A28" s="2" t="s">
        <v>1</v>
      </c>
    </row>
    <row r="31" spans="1:11" x14ac:dyDescent="0.2">
      <c r="K31" s="4"/>
    </row>
    <row r="32" spans="1:11" x14ac:dyDescent="0.2">
      <c r="K32" s="4"/>
    </row>
    <row r="33" spans="11:11" x14ac:dyDescent="0.2">
      <c r="K33" s="5"/>
    </row>
    <row r="34" spans="11:11" x14ac:dyDescent="0.2">
      <c r="K34" s="6"/>
    </row>
  </sheetData>
  <mergeCells count="1">
    <mergeCell ref="C1:E1"/>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Boadu, Janet</dc:creator>
  <cp:lastModifiedBy>Christopher G. Kemp</cp:lastModifiedBy>
  <dcterms:created xsi:type="dcterms:W3CDTF">2018-09-28T12:46:07Z</dcterms:created>
  <dcterms:modified xsi:type="dcterms:W3CDTF">2019-05-25T22:47:24Z</dcterms:modified>
</cp:coreProperties>
</file>