
<file path=[Content_Types].xml><?xml version="1.0" encoding="utf-8"?>
<Types xmlns="http://schemas.openxmlformats.org/package/2006/content-types">
  <Default Extension="emf" ContentType="image/x-em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3.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4.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5.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6.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10.xml" ContentType="application/vnd.openxmlformats-officedocument.drawing+xml"/>
  <Override PartName="/xl/charts/chart3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ibolden/Google Drive/Grad. Research/Tetiaroa/QD Manuscript/"/>
    </mc:Choice>
  </mc:AlternateContent>
  <xr:revisionPtr revIDLastSave="0" documentId="13_ncr:1_{0056C4D5-756D-644C-81AC-AEAACB387AC4}" xr6:coauthVersionLast="45" xr6:coauthVersionMax="45" xr10:uidLastSave="{00000000-0000-0000-0000-000000000000}"/>
  <bookViews>
    <workbookView xWindow="60" yWindow="460" windowWidth="33540" windowHeight="19440" firstSheet="10" activeTab="13" xr2:uid="{719BACF6-AA67-B84C-8BED-C959A9122A19}"/>
  </bookViews>
  <sheets>
    <sheet name="README" sheetId="21" r:id="rId1"/>
    <sheet name="All Experimental Diel Data" sheetId="1" r:id="rId2"/>
    <sheet name="Single Box Model Fluxes" sheetId="16" r:id="rId3"/>
    <sheet name="Non-Dispersive Model Output" sheetId="12" r:id="rId4"/>
    <sheet name="MultiBox Eulerian Inverse Model" sheetId="9" r:id="rId5"/>
    <sheet name="Metabolism &amp; Q Summary" sheetId="19" r:id="rId6"/>
    <sheet name="Single Box Piecewise Q" sheetId="11" r:id="rId7"/>
    <sheet name="Q Assumption Error" sheetId="20" r:id="rId8"/>
    <sheet name="Missing O2 Flux if Redfield" sheetId="18" r:id="rId9"/>
    <sheet name="Impact of Mixing on Q" sheetId="17" r:id="rId10"/>
    <sheet name="Single Box Q Error Plots" sheetId="15" r:id="rId11"/>
    <sheet name="O2 Gradient Evidence" sheetId="8" r:id="rId12"/>
    <sheet name="Rain and Salinity" sheetId="10" r:id="rId13"/>
    <sheet name="Piston Velocity" sheetId="6" r:id="rId14"/>
    <sheet name="Flow Data" sheetId="5" r:id="rId15"/>
    <sheet name="O2 Optode Accuracy" sheetId="2" r:id="rId16"/>
    <sheet name="Long Term DIC TA Precision" sheetId="3" r:id="rId17"/>
    <sheet name="P16 Repeat Hydrography Data" sheetId="4" r:id="rId18"/>
  </sheets>
  <externalReferences>
    <externalReference r:id="rId19"/>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83" i="4" l="1"/>
  <c r="B84" i="4" s="1"/>
  <c r="B81" i="4"/>
  <c r="B82" i="4" s="1"/>
  <c r="I79" i="4"/>
  <c r="H79" i="4"/>
  <c r="G79" i="4"/>
  <c r="E79" i="4"/>
  <c r="AF165" i="16" l="1"/>
  <c r="AF166" i="16"/>
  <c r="AF167" i="16"/>
  <c r="AF168" i="16"/>
  <c r="AF169" i="16"/>
  <c r="AF170" i="16"/>
  <c r="AF171" i="16"/>
  <c r="AF172" i="16"/>
  <c r="AF173" i="16"/>
  <c r="AF174" i="16"/>
  <c r="AF164" i="16"/>
  <c r="W165" i="16"/>
  <c r="W166" i="16"/>
  <c r="W167" i="16"/>
  <c r="W168" i="16"/>
  <c r="W169" i="16"/>
  <c r="W170" i="16"/>
  <c r="W171" i="16"/>
  <c r="W172" i="16"/>
  <c r="W173" i="16"/>
  <c r="W174" i="16"/>
  <c r="W164" i="16"/>
  <c r="T164" i="16"/>
  <c r="T165" i="16"/>
  <c r="T166" i="16"/>
  <c r="T167" i="16"/>
  <c r="T168" i="16"/>
  <c r="T169" i="16"/>
  <c r="T170" i="16"/>
  <c r="T171" i="16"/>
  <c r="T172" i="16"/>
  <c r="T173" i="16"/>
  <c r="T174" i="16"/>
  <c r="T175" i="16"/>
  <c r="T163" i="16"/>
  <c r="I165" i="16"/>
  <c r="I166" i="16"/>
  <c r="I167" i="16"/>
  <c r="I168" i="16"/>
  <c r="I169" i="16"/>
  <c r="I170" i="16"/>
  <c r="I171" i="16"/>
  <c r="I172" i="16"/>
  <c r="I173" i="16"/>
  <c r="I174" i="16"/>
  <c r="I164" i="16"/>
  <c r="AF119" i="16"/>
  <c r="AF120" i="16"/>
  <c r="AF121" i="16"/>
  <c r="AF122" i="16"/>
  <c r="AF123" i="16"/>
  <c r="AF124" i="16"/>
  <c r="AF125" i="16"/>
  <c r="AF126" i="16"/>
  <c r="AF127" i="16"/>
  <c r="AF128" i="16"/>
  <c r="AF118" i="16"/>
  <c r="W119" i="16"/>
  <c r="W120" i="16"/>
  <c r="W121" i="16"/>
  <c r="W122" i="16"/>
  <c r="W123" i="16"/>
  <c r="W124" i="16"/>
  <c r="W125" i="16"/>
  <c r="W126" i="16"/>
  <c r="W127" i="16"/>
  <c r="W128" i="16"/>
  <c r="W118" i="16"/>
  <c r="T118" i="16"/>
  <c r="T119" i="16"/>
  <c r="T120" i="16"/>
  <c r="T121" i="16"/>
  <c r="T122" i="16"/>
  <c r="T123" i="16"/>
  <c r="T124" i="16"/>
  <c r="T125" i="16"/>
  <c r="T126" i="16"/>
  <c r="T127" i="16"/>
  <c r="T128" i="16"/>
  <c r="T129" i="16"/>
  <c r="T117" i="16"/>
  <c r="I119" i="16"/>
  <c r="I120" i="16"/>
  <c r="I121" i="16"/>
  <c r="I122" i="16"/>
  <c r="I123" i="16"/>
  <c r="I124" i="16"/>
  <c r="I125" i="16"/>
  <c r="I126" i="16"/>
  <c r="I127" i="16"/>
  <c r="I128" i="16"/>
  <c r="I118" i="16"/>
  <c r="AF72" i="16"/>
  <c r="AF73" i="16"/>
  <c r="AF74" i="16"/>
  <c r="AF75" i="16"/>
  <c r="AF76" i="16"/>
  <c r="AF77" i="16"/>
  <c r="AF78" i="16"/>
  <c r="AF79" i="16"/>
  <c r="AF80" i="16"/>
  <c r="AF71" i="16"/>
  <c r="W72" i="16"/>
  <c r="W73" i="16"/>
  <c r="W74" i="16"/>
  <c r="W75" i="16"/>
  <c r="W76" i="16"/>
  <c r="W77" i="16"/>
  <c r="W78" i="16"/>
  <c r="W79" i="16"/>
  <c r="W80" i="16"/>
  <c r="W71" i="16"/>
  <c r="T72" i="16"/>
  <c r="T73" i="16"/>
  <c r="T74" i="16"/>
  <c r="T75" i="16"/>
  <c r="T76" i="16"/>
  <c r="T77" i="16"/>
  <c r="T78" i="16"/>
  <c r="T79" i="16"/>
  <c r="T80" i="16"/>
  <c r="T81" i="16"/>
  <c r="T82" i="16"/>
  <c r="T71" i="16"/>
  <c r="I72" i="16"/>
  <c r="I73" i="16"/>
  <c r="I74" i="16"/>
  <c r="I75" i="16"/>
  <c r="I76" i="16"/>
  <c r="I77" i="16"/>
  <c r="I78" i="16"/>
  <c r="I79" i="16"/>
  <c r="I80" i="16"/>
  <c r="I71" i="16"/>
  <c r="AF28" i="16"/>
  <c r="AF29" i="16"/>
  <c r="AF30" i="16"/>
  <c r="AF31" i="16"/>
  <c r="AF32" i="16"/>
  <c r="AF33" i="16"/>
  <c r="AF34" i="16"/>
  <c r="AF35" i="16"/>
  <c r="AF36" i="16"/>
  <c r="AF37" i="16"/>
  <c r="AF38" i="16"/>
  <c r="AF27" i="16"/>
  <c r="W28" i="16"/>
  <c r="W29" i="16"/>
  <c r="W30" i="16"/>
  <c r="W31" i="16"/>
  <c r="W32" i="16"/>
  <c r="W33" i="16"/>
  <c r="W34" i="16"/>
  <c r="W35" i="16"/>
  <c r="W36" i="16"/>
  <c r="W37" i="16"/>
  <c r="W38" i="16"/>
  <c r="W27" i="16"/>
  <c r="T28" i="16"/>
  <c r="T29" i="16"/>
  <c r="T30" i="16"/>
  <c r="T31" i="16"/>
  <c r="T32" i="16"/>
  <c r="T33" i="16"/>
  <c r="T34" i="16"/>
  <c r="T35" i="16"/>
  <c r="T36" i="16"/>
  <c r="T37" i="16"/>
  <c r="T38" i="16"/>
  <c r="T27" i="16"/>
  <c r="I28" i="16"/>
  <c r="I29" i="16"/>
  <c r="I30" i="16"/>
  <c r="I31" i="16"/>
  <c r="I32" i="16"/>
  <c r="I33" i="16"/>
  <c r="I34" i="16"/>
  <c r="I35" i="16"/>
  <c r="I36" i="16"/>
  <c r="I37" i="16"/>
  <c r="I38" i="16"/>
  <c r="I27" i="16"/>
  <c r="C164" i="16" l="1"/>
  <c r="C165" i="16"/>
  <c r="C166" i="16"/>
  <c r="C167" i="16"/>
  <c r="C168" i="16"/>
  <c r="C169" i="16"/>
  <c r="C170" i="16"/>
  <c r="C171" i="16"/>
  <c r="C172" i="16"/>
  <c r="C173" i="16"/>
  <c r="C174" i="16"/>
  <c r="C175" i="16"/>
  <c r="C176" i="16"/>
  <c r="C163" i="16"/>
  <c r="Q164" i="16"/>
  <c r="Q165" i="16"/>
  <c r="Q166" i="16"/>
  <c r="Q167" i="16"/>
  <c r="Q168" i="16"/>
  <c r="Q169" i="16"/>
  <c r="Q170" i="16"/>
  <c r="Q171" i="16"/>
  <c r="Q172" i="16"/>
  <c r="Q173" i="16"/>
  <c r="Q174" i="16"/>
  <c r="Q175" i="16"/>
  <c r="Q176" i="16"/>
  <c r="Q163" i="16"/>
  <c r="Q118" i="16"/>
  <c r="Q119" i="16"/>
  <c r="Q120" i="16"/>
  <c r="Q121" i="16"/>
  <c r="Q122" i="16"/>
  <c r="Q123" i="16"/>
  <c r="Q124" i="16"/>
  <c r="Q125" i="16"/>
  <c r="Q126" i="16"/>
  <c r="Q127" i="16"/>
  <c r="Q128" i="16"/>
  <c r="Q129" i="16"/>
  <c r="Q130" i="16"/>
  <c r="Q117" i="16"/>
  <c r="C118" i="16"/>
  <c r="C119" i="16"/>
  <c r="C120" i="16"/>
  <c r="C121" i="16"/>
  <c r="C122" i="16"/>
  <c r="C123" i="16"/>
  <c r="C124" i="16"/>
  <c r="C125" i="16"/>
  <c r="C126" i="16"/>
  <c r="C127" i="16"/>
  <c r="C128" i="16"/>
  <c r="C129" i="16"/>
  <c r="C130" i="16"/>
  <c r="C117" i="16"/>
  <c r="C72" i="16"/>
  <c r="C73" i="16"/>
  <c r="C74" i="16"/>
  <c r="C75" i="16"/>
  <c r="C76" i="16"/>
  <c r="C77" i="16"/>
  <c r="C78" i="16"/>
  <c r="C79" i="16"/>
  <c r="C80" i="16"/>
  <c r="C81" i="16"/>
  <c r="C82" i="16"/>
  <c r="C71" i="16"/>
  <c r="Q72" i="16"/>
  <c r="Q73" i="16"/>
  <c r="Q74" i="16"/>
  <c r="Q75" i="16"/>
  <c r="Q76" i="16"/>
  <c r="Q77" i="16"/>
  <c r="Q78" i="16"/>
  <c r="Q79" i="16"/>
  <c r="Q80" i="16"/>
  <c r="Q81" i="16"/>
  <c r="Q82" i="16"/>
  <c r="Q71" i="16"/>
  <c r="Q28" i="16"/>
  <c r="Q29" i="16"/>
  <c r="Q30" i="16"/>
  <c r="Q31" i="16"/>
  <c r="Q32" i="16"/>
  <c r="Q33" i="16"/>
  <c r="Q34" i="16"/>
  <c r="Q35" i="16"/>
  <c r="Q36" i="16"/>
  <c r="Q37" i="16"/>
  <c r="Q38" i="16"/>
  <c r="Q27" i="16"/>
  <c r="C28" i="16"/>
  <c r="C29" i="16"/>
  <c r="C30" i="16"/>
  <c r="C31" i="16"/>
  <c r="C32" i="16"/>
  <c r="C33" i="16"/>
  <c r="C34" i="16"/>
  <c r="C35" i="16"/>
  <c r="C36" i="16"/>
  <c r="C37" i="16"/>
  <c r="C38" i="16"/>
  <c r="C39" i="16"/>
  <c r="C27" i="16"/>
  <c r="B67" i="20" l="1"/>
  <c r="B66" i="20"/>
  <c r="B65" i="20"/>
  <c r="B64" i="20"/>
  <c r="B63" i="20"/>
  <c r="B62" i="20"/>
  <c r="B61" i="20"/>
  <c r="B60" i="20"/>
  <c r="B59" i="20"/>
  <c r="B58" i="20"/>
  <c r="B57" i="20"/>
  <c r="B56" i="20"/>
  <c r="A31" i="20" l="1"/>
  <c r="D27" i="16" l="1"/>
  <c r="B8" i="6"/>
  <c r="B7" i="6"/>
  <c r="M75" i="12" l="1"/>
  <c r="M76" i="12"/>
  <c r="M77" i="12"/>
  <c r="M78" i="12"/>
  <c r="M79" i="12"/>
  <c r="M80" i="12"/>
  <c r="M81" i="12"/>
  <c r="M82" i="12"/>
  <c r="M83" i="12"/>
  <c r="M84" i="12"/>
  <c r="M74" i="12"/>
  <c r="O75" i="12"/>
  <c r="O76" i="12"/>
  <c r="O77" i="12"/>
  <c r="O78" i="12"/>
  <c r="O79" i="12"/>
  <c r="O80" i="12"/>
  <c r="O81" i="12"/>
  <c r="O82" i="12"/>
  <c r="O83" i="12"/>
  <c r="O84" i="12"/>
  <c r="O74" i="12"/>
  <c r="Q75" i="12"/>
  <c r="Q76" i="12"/>
  <c r="Q77" i="12"/>
  <c r="Q78" i="12"/>
  <c r="Q79" i="12"/>
  <c r="Q80" i="12"/>
  <c r="Q81" i="12"/>
  <c r="Q82" i="12"/>
  <c r="Q83" i="12"/>
  <c r="Q84" i="12"/>
  <c r="Q74" i="12"/>
  <c r="Q58" i="12"/>
  <c r="Q59" i="12"/>
  <c r="Q60" i="12"/>
  <c r="O60" i="12" s="1"/>
  <c r="Q61" i="12"/>
  <c r="O61" i="12" s="1"/>
  <c r="Q62" i="12"/>
  <c r="Q63" i="12"/>
  <c r="Q64" i="12"/>
  <c r="O64" i="12" s="1"/>
  <c r="Q65" i="12"/>
  <c r="O65" i="12" s="1"/>
  <c r="Q66" i="12"/>
  <c r="Q67" i="12"/>
  <c r="Q57" i="12"/>
  <c r="O57" i="12" s="1"/>
  <c r="O58" i="12"/>
  <c r="O59" i="12"/>
  <c r="O62" i="12"/>
  <c r="O63" i="12"/>
  <c r="O66" i="12"/>
  <c r="O67" i="12"/>
  <c r="M58" i="12"/>
  <c r="M59" i="12"/>
  <c r="M60" i="12"/>
  <c r="M61" i="12"/>
  <c r="M62" i="12"/>
  <c r="M63" i="12"/>
  <c r="M64" i="12"/>
  <c r="M65" i="12"/>
  <c r="M66" i="12"/>
  <c r="M67" i="12"/>
  <c r="M57" i="12"/>
  <c r="Q40" i="12"/>
  <c r="Q41" i="12"/>
  <c r="Q42" i="12"/>
  <c r="Q43" i="12"/>
  <c r="Q44" i="12"/>
  <c r="Q45" i="12"/>
  <c r="Q46" i="12"/>
  <c r="O46" i="12" s="1"/>
  <c r="Q47" i="12"/>
  <c r="O47" i="12" s="1"/>
  <c r="Q48" i="12"/>
  <c r="Q39" i="12"/>
  <c r="O39" i="12" s="1"/>
  <c r="O42" i="12"/>
  <c r="O43" i="12"/>
  <c r="O40" i="12"/>
  <c r="O41" i="12"/>
  <c r="O44" i="12"/>
  <c r="O45" i="12"/>
  <c r="O48" i="12"/>
  <c r="M39" i="12"/>
  <c r="M40" i="12"/>
  <c r="M41" i="12"/>
  <c r="M42" i="12"/>
  <c r="M43" i="12"/>
  <c r="M44" i="12"/>
  <c r="M45" i="12"/>
  <c r="M46" i="12"/>
  <c r="M47" i="12"/>
  <c r="M48" i="12"/>
  <c r="Q23" i="12"/>
  <c r="Q24" i="12"/>
  <c r="Q25" i="12"/>
  <c r="Q26" i="12"/>
  <c r="Q27" i="12"/>
  <c r="Q28" i="12"/>
  <c r="Q29" i="12"/>
  <c r="Q30" i="12"/>
  <c r="Q31" i="12"/>
  <c r="Q32" i="12"/>
  <c r="Q33" i="12"/>
  <c r="Q22" i="12"/>
  <c r="O22" i="12" s="1"/>
  <c r="O23" i="12"/>
  <c r="O24" i="12"/>
  <c r="O25" i="12"/>
  <c r="O26" i="12"/>
  <c r="O27" i="12"/>
  <c r="O28" i="12"/>
  <c r="O29" i="12"/>
  <c r="O30" i="12"/>
  <c r="O31" i="12"/>
  <c r="O32" i="12"/>
  <c r="O33" i="12"/>
  <c r="M23" i="12"/>
  <c r="M24" i="12"/>
  <c r="M25" i="12"/>
  <c r="M26" i="12"/>
  <c r="M27" i="12"/>
  <c r="M28" i="12"/>
  <c r="M29" i="12"/>
  <c r="M30" i="12"/>
  <c r="M31" i="12"/>
  <c r="M32" i="12"/>
  <c r="M33" i="12"/>
  <c r="M22" i="12"/>
  <c r="N33" i="12"/>
  <c r="E27" i="16"/>
  <c r="F27" i="16" s="1"/>
  <c r="I40" i="4" l="1"/>
  <c r="H40" i="4"/>
  <c r="G40" i="4"/>
  <c r="E40" i="4"/>
  <c r="E12" i="10"/>
  <c r="P11" i="9" l="1"/>
  <c r="P12" i="9"/>
  <c r="P13" i="9"/>
  <c r="P14" i="9"/>
  <c r="P15" i="9"/>
  <c r="P16" i="9"/>
  <c r="P17" i="9"/>
  <c r="P18" i="9"/>
  <c r="P19" i="9"/>
  <c r="P20" i="9"/>
  <c r="P21" i="9"/>
  <c r="P22" i="9"/>
  <c r="P10" i="9"/>
  <c r="P28" i="9"/>
  <c r="P29" i="9"/>
  <c r="P30" i="9"/>
  <c r="P31" i="9"/>
  <c r="P32" i="9"/>
  <c r="P33" i="9"/>
  <c r="P34" i="9"/>
  <c r="P35" i="9"/>
  <c r="P36" i="9"/>
  <c r="P37" i="9"/>
  <c r="P27" i="9"/>
  <c r="P43" i="9"/>
  <c r="P44" i="9"/>
  <c r="P45" i="9"/>
  <c r="P46" i="9"/>
  <c r="P47" i="9"/>
  <c r="P48" i="9"/>
  <c r="P49" i="9"/>
  <c r="P50" i="9"/>
  <c r="P51" i="9"/>
  <c r="P52" i="9"/>
  <c r="P53" i="9"/>
  <c r="P54" i="9"/>
  <c r="P42" i="9"/>
  <c r="P59" i="9"/>
  <c r="P60" i="9"/>
  <c r="P61" i="9"/>
  <c r="P62" i="9"/>
  <c r="P63" i="9"/>
  <c r="P64" i="9"/>
  <c r="P65" i="9"/>
  <c r="P66" i="9"/>
  <c r="P67" i="9"/>
  <c r="P68" i="9"/>
  <c r="P69" i="9"/>
  <c r="P70" i="9"/>
  <c r="P58" i="9"/>
  <c r="L59" i="9"/>
  <c r="L60" i="9"/>
  <c r="L61" i="9"/>
  <c r="L62" i="9"/>
  <c r="L63" i="9"/>
  <c r="L64" i="9"/>
  <c r="L65" i="9"/>
  <c r="L66" i="9"/>
  <c r="L67" i="9"/>
  <c r="L68" i="9"/>
  <c r="L69" i="9"/>
  <c r="L70" i="9"/>
  <c r="L58" i="9"/>
  <c r="L43" i="9"/>
  <c r="L44" i="9"/>
  <c r="L45" i="9"/>
  <c r="L46" i="9"/>
  <c r="L47" i="9"/>
  <c r="L48" i="9"/>
  <c r="L49" i="9"/>
  <c r="L50" i="9"/>
  <c r="L51" i="9"/>
  <c r="L52" i="9"/>
  <c r="L53" i="9"/>
  <c r="L54" i="9"/>
  <c r="L42" i="9"/>
  <c r="L28" i="9"/>
  <c r="L29" i="9"/>
  <c r="L30" i="9"/>
  <c r="L31" i="9"/>
  <c r="L32" i="9"/>
  <c r="L33" i="9"/>
  <c r="L34" i="9"/>
  <c r="L35" i="9"/>
  <c r="L36" i="9"/>
  <c r="L37" i="9"/>
  <c r="L27" i="9"/>
  <c r="L11" i="9"/>
  <c r="L12" i="9"/>
  <c r="L13" i="9"/>
  <c r="L14" i="9"/>
  <c r="L15" i="9"/>
  <c r="L16" i="9"/>
  <c r="L17" i="9"/>
  <c r="L18" i="9"/>
  <c r="L19" i="9"/>
  <c r="L20" i="9"/>
  <c r="L21" i="9"/>
  <c r="L22" i="9"/>
  <c r="L10" i="9"/>
  <c r="M78" i="20" l="1"/>
  <c r="M79" i="20"/>
  <c r="M80" i="20"/>
  <c r="M81" i="20"/>
  <c r="M82" i="20"/>
  <c r="M83" i="20"/>
  <c r="M84" i="20"/>
  <c r="M85" i="20"/>
  <c r="M86" i="20"/>
  <c r="M87" i="20"/>
  <c r="M88" i="20"/>
  <c r="M77" i="20"/>
  <c r="L78" i="20"/>
  <c r="L79" i="20"/>
  <c r="L80" i="20"/>
  <c r="L81" i="20"/>
  <c r="L82" i="20"/>
  <c r="L83" i="20"/>
  <c r="L84" i="20"/>
  <c r="L85" i="20"/>
  <c r="L86" i="20"/>
  <c r="L87" i="20"/>
  <c r="L88" i="20"/>
  <c r="L77" i="20"/>
  <c r="K77" i="20"/>
  <c r="G78" i="20"/>
  <c r="G79" i="20"/>
  <c r="G80" i="20"/>
  <c r="G81" i="20"/>
  <c r="G82" i="20"/>
  <c r="G83" i="20"/>
  <c r="G84" i="20"/>
  <c r="G85" i="20"/>
  <c r="G86" i="20"/>
  <c r="G87" i="20"/>
  <c r="G88" i="20"/>
  <c r="G77" i="20"/>
  <c r="F78" i="20"/>
  <c r="F79" i="20"/>
  <c r="F80" i="20"/>
  <c r="F81" i="20"/>
  <c r="F82" i="20"/>
  <c r="F83" i="20"/>
  <c r="F84" i="20"/>
  <c r="F85" i="20"/>
  <c r="F86" i="20"/>
  <c r="F87" i="20"/>
  <c r="F88" i="20"/>
  <c r="F77" i="20"/>
  <c r="B78" i="20"/>
  <c r="C78" i="20" s="1"/>
  <c r="B79" i="20"/>
  <c r="C79" i="20" s="1"/>
  <c r="B80" i="20"/>
  <c r="C80" i="20" s="1"/>
  <c r="B81" i="20"/>
  <c r="C81" i="20" s="1"/>
  <c r="B82" i="20"/>
  <c r="C82" i="20" s="1"/>
  <c r="B83" i="20"/>
  <c r="C83" i="20" s="1"/>
  <c r="B84" i="20"/>
  <c r="C84" i="20" s="1"/>
  <c r="B85" i="20"/>
  <c r="C85" i="20" s="1"/>
  <c r="B86" i="20"/>
  <c r="C86" i="20" s="1"/>
  <c r="B87" i="20"/>
  <c r="C87" i="20" s="1"/>
  <c r="B88" i="20"/>
  <c r="C88" i="20" s="1"/>
  <c r="B77" i="20"/>
  <c r="C77" i="20" s="1"/>
  <c r="E77" i="20" s="1"/>
  <c r="M57" i="20"/>
  <c r="M58" i="20"/>
  <c r="M59" i="20"/>
  <c r="M60" i="20"/>
  <c r="M61" i="20"/>
  <c r="M62" i="20"/>
  <c r="M63" i="20"/>
  <c r="M64" i="20"/>
  <c r="M65" i="20"/>
  <c r="M66" i="20"/>
  <c r="M67" i="20"/>
  <c r="M56" i="20"/>
  <c r="L57" i="20"/>
  <c r="L58" i="20"/>
  <c r="L59" i="20"/>
  <c r="L60" i="20"/>
  <c r="L61" i="20"/>
  <c r="L62" i="20"/>
  <c r="L63" i="20"/>
  <c r="L64" i="20"/>
  <c r="L65" i="20"/>
  <c r="L66" i="20"/>
  <c r="L67" i="20"/>
  <c r="L56" i="20"/>
  <c r="K56" i="20"/>
  <c r="G57" i="20"/>
  <c r="G58" i="20"/>
  <c r="G59" i="20"/>
  <c r="G60" i="20"/>
  <c r="G61" i="20"/>
  <c r="G62" i="20"/>
  <c r="G63" i="20"/>
  <c r="G64" i="20"/>
  <c r="G65" i="20"/>
  <c r="G66" i="20"/>
  <c r="G67" i="20"/>
  <c r="G56" i="20"/>
  <c r="F57" i="20"/>
  <c r="F58" i="20"/>
  <c r="F59" i="20"/>
  <c r="F60" i="20"/>
  <c r="F61" i="20"/>
  <c r="F62" i="20"/>
  <c r="F63" i="20"/>
  <c r="F64" i="20"/>
  <c r="F65" i="20"/>
  <c r="F66" i="20"/>
  <c r="F67" i="20"/>
  <c r="F56" i="20"/>
  <c r="C58" i="20"/>
  <c r="D58" i="20" s="1"/>
  <c r="C61" i="20"/>
  <c r="D61" i="20" s="1"/>
  <c r="C57" i="20"/>
  <c r="C59" i="20"/>
  <c r="C60" i="20"/>
  <c r="C62" i="20"/>
  <c r="C63" i="20"/>
  <c r="C64" i="20"/>
  <c r="C65" i="20"/>
  <c r="C66" i="20"/>
  <c r="C67" i="20"/>
  <c r="C56" i="20"/>
  <c r="M37" i="20"/>
  <c r="M38" i="20"/>
  <c r="M39" i="20"/>
  <c r="M40" i="20"/>
  <c r="M41" i="20"/>
  <c r="M42" i="20"/>
  <c r="M43" i="20"/>
  <c r="M44" i="20"/>
  <c r="M45" i="20"/>
  <c r="M46" i="20"/>
  <c r="M36" i="20"/>
  <c r="L37" i="20"/>
  <c r="L38" i="20"/>
  <c r="L39" i="20"/>
  <c r="L40" i="20"/>
  <c r="L41" i="20"/>
  <c r="L42" i="20"/>
  <c r="L43" i="20"/>
  <c r="L44" i="20"/>
  <c r="L45" i="20"/>
  <c r="L46" i="20"/>
  <c r="L36" i="20"/>
  <c r="K36" i="20"/>
  <c r="G37" i="20"/>
  <c r="G38" i="20"/>
  <c r="G39" i="20"/>
  <c r="G40" i="20"/>
  <c r="G41" i="20"/>
  <c r="G42" i="20"/>
  <c r="G43" i="20"/>
  <c r="G44" i="20"/>
  <c r="G45" i="20"/>
  <c r="G46" i="20"/>
  <c r="G36" i="20"/>
  <c r="F37" i="20"/>
  <c r="F38" i="20"/>
  <c r="F39" i="20"/>
  <c r="F40" i="20"/>
  <c r="F41" i="20"/>
  <c r="F42" i="20"/>
  <c r="F43" i="20"/>
  <c r="F44" i="20"/>
  <c r="F45" i="20"/>
  <c r="F46" i="20"/>
  <c r="F36" i="20"/>
  <c r="C37" i="20"/>
  <c r="D37" i="20" s="1"/>
  <c r="C38" i="20"/>
  <c r="N38" i="20" s="1"/>
  <c r="E38" i="20"/>
  <c r="C45" i="20"/>
  <c r="D45" i="20" s="1"/>
  <c r="C46" i="20"/>
  <c r="D46" i="20" s="1"/>
  <c r="B37" i="20"/>
  <c r="B38" i="20"/>
  <c r="B39" i="20"/>
  <c r="C39" i="20" s="1"/>
  <c r="B40" i="20"/>
  <c r="C40" i="20" s="1"/>
  <c r="B41" i="20"/>
  <c r="C41" i="20" s="1"/>
  <c r="B42" i="20"/>
  <c r="C42" i="20" s="1"/>
  <c r="B43" i="20"/>
  <c r="C43" i="20" s="1"/>
  <c r="B44" i="20"/>
  <c r="C44" i="20" s="1"/>
  <c r="B45" i="20"/>
  <c r="B46" i="20"/>
  <c r="B36" i="20"/>
  <c r="C36" i="20" s="1"/>
  <c r="L15" i="20"/>
  <c r="L16" i="20"/>
  <c r="L17" i="20"/>
  <c r="M17" i="20" s="1"/>
  <c r="L18" i="20"/>
  <c r="L19" i="20"/>
  <c r="L20" i="20"/>
  <c r="M20" i="20" s="1"/>
  <c r="L21" i="20"/>
  <c r="M21" i="20" s="1"/>
  <c r="L22" i="20"/>
  <c r="M22" i="20" s="1"/>
  <c r="L23" i="20"/>
  <c r="L24" i="20"/>
  <c r="L25" i="20"/>
  <c r="M25" i="20" s="1"/>
  <c r="L26" i="20"/>
  <c r="L14" i="20"/>
  <c r="M14" i="20" s="1"/>
  <c r="F15" i="20"/>
  <c r="F16" i="20"/>
  <c r="F17" i="20"/>
  <c r="G17" i="20" s="1"/>
  <c r="F18" i="20"/>
  <c r="G18" i="20" s="1"/>
  <c r="F19" i="20"/>
  <c r="F20" i="20"/>
  <c r="F21" i="20"/>
  <c r="G21" i="20" s="1"/>
  <c r="F22" i="20"/>
  <c r="G22" i="20" s="1"/>
  <c r="F23" i="20"/>
  <c r="G23" i="20" s="1"/>
  <c r="F24" i="20"/>
  <c r="G24" i="20" s="1"/>
  <c r="F25" i="20"/>
  <c r="G25" i="20" s="1"/>
  <c r="F26" i="20"/>
  <c r="G26" i="20" s="1"/>
  <c r="F14" i="20"/>
  <c r="B15" i="20"/>
  <c r="C15" i="20" s="1"/>
  <c r="B16" i="20"/>
  <c r="C16" i="20" s="1"/>
  <c r="B17" i="20"/>
  <c r="B18" i="20"/>
  <c r="C18" i="20" s="1"/>
  <c r="B19" i="20"/>
  <c r="C19" i="20" s="1"/>
  <c r="B20" i="20"/>
  <c r="C20" i="20" s="1"/>
  <c r="B21" i="20"/>
  <c r="C21" i="20" s="1"/>
  <c r="B22" i="20"/>
  <c r="C22" i="20" s="1"/>
  <c r="B23" i="20"/>
  <c r="C23" i="20" s="1"/>
  <c r="B24" i="20"/>
  <c r="C24" i="20" s="1"/>
  <c r="B25" i="20"/>
  <c r="C25" i="20" s="1"/>
  <c r="B26" i="20"/>
  <c r="C26" i="20" s="1"/>
  <c r="B14" i="20"/>
  <c r="C14" i="20" s="1"/>
  <c r="N14" i="20" s="1"/>
  <c r="M26" i="20"/>
  <c r="M24" i="20"/>
  <c r="M23" i="20"/>
  <c r="G20" i="20"/>
  <c r="M19" i="20"/>
  <c r="G19" i="20"/>
  <c r="M18" i="20"/>
  <c r="C17" i="20"/>
  <c r="M16" i="20"/>
  <c r="G16" i="20"/>
  <c r="M15" i="20"/>
  <c r="G15" i="20"/>
  <c r="G14" i="20"/>
  <c r="K14" i="20" s="1"/>
  <c r="B1" i="20"/>
  <c r="B2" i="20" s="1"/>
  <c r="B4" i="20" s="1"/>
  <c r="B5" i="20" s="1"/>
  <c r="B10" i="20"/>
  <c r="B9" i="20"/>
  <c r="B8" i="20"/>
  <c r="B7" i="20"/>
  <c r="B6" i="20"/>
  <c r="N83" i="20" l="1"/>
  <c r="E83" i="20"/>
  <c r="D83" i="20"/>
  <c r="E86" i="20"/>
  <c r="D86" i="20"/>
  <c r="D82" i="20"/>
  <c r="N82" i="20"/>
  <c r="E82" i="20"/>
  <c r="D81" i="20"/>
  <c r="N81" i="20"/>
  <c r="D85" i="20"/>
  <c r="E85" i="20"/>
  <c r="N85" i="20"/>
  <c r="N84" i="20"/>
  <c r="D84" i="20"/>
  <c r="E84" i="20"/>
  <c r="N88" i="20"/>
  <c r="D88" i="20"/>
  <c r="E88" i="20"/>
  <c r="D80" i="20"/>
  <c r="E80" i="20"/>
  <c r="N80" i="20"/>
  <c r="D78" i="20"/>
  <c r="N78" i="20"/>
  <c r="D87" i="20"/>
  <c r="N87" i="20"/>
  <c r="D79" i="20"/>
  <c r="N79" i="20"/>
  <c r="N77" i="20"/>
  <c r="N86" i="20"/>
  <c r="N60" i="20"/>
  <c r="D60" i="20"/>
  <c r="E60" i="20"/>
  <c r="E59" i="20"/>
  <c r="N59" i="20"/>
  <c r="D59" i="20"/>
  <c r="D57" i="20"/>
  <c r="N57" i="20"/>
  <c r="D64" i="20"/>
  <c r="N64" i="20"/>
  <c r="E64" i="20"/>
  <c r="D63" i="20"/>
  <c r="E63" i="20"/>
  <c r="N63" i="20"/>
  <c r="E67" i="20"/>
  <c r="N67" i="20"/>
  <c r="D67" i="20"/>
  <c r="D65" i="20"/>
  <c r="N65" i="20"/>
  <c r="D62" i="20"/>
  <c r="N62" i="20"/>
  <c r="E56" i="20"/>
  <c r="N56" i="20"/>
  <c r="N66" i="20"/>
  <c r="D66" i="20"/>
  <c r="E66" i="20"/>
  <c r="N61" i="20"/>
  <c r="N58" i="20"/>
  <c r="E61" i="20"/>
  <c r="E58" i="20"/>
  <c r="D44" i="20"/>
  <c r="E44" i="20"/>
  <c r="N44" i="20"/>
  <c r="E43" i="20"/>
  <c r="D43" i="20"/>
  <c r="N43" i="20"/>
  <c r="D42" i="20"/>
  <c r="N42" i="20"/>
  <c r="D41" i="20"/>
  <c r="N41" i="20"/>
  <c r="D40" i="20"/>
  <c r="N40" i="20"/>
  <c r="E40" i="20"/>
  <c r="N36" i="20"/>
  <c r="E36" i="20"/>
  <c r="E39" i="20"/>
  <c r="D39" i="20"/>
  <c r="N39" i="20"/>
  <c r="E46" i="20"/>
  <c r="D38" i="20"/>
  <c r="N46" i="20"/>
  <c r="N45" i="20"/>
  <c r="N37" i="20"/>
  <c r="E87" i="20"/>
  <c r="E79" i="20"/>
  <c r="E81" i="20"/>
  <c r="E78" i="20"/>
  <c r="D77" i="20"/>
  <c r="E65" i="20"/>
  <c r="E57" i="20"/>
  <c r="E62" i="20"/>
  <c r="D56" i="20"/>
  <c r="E41" i="20"/>
  <c r="E45" i="20"/>
  <c r="E37" i="20"/>
  <c r="E42" i="20"/>
  <c r="D36" i="20"/>
  <c r="D14" i="20"/>
  <c r="D15" i="20"/>
  <c r="D16" i="20"/>
  <c r="D17" i="20"/>
  <c r="D18" i="20"/>
  <c r="D19" i="20"/>
  <c r="D20" i="20"/>
  <c r="D21" i="20"/>
  <c r="D22" i="20"/>
  <c r="D23" i="20"/>
  <c r="D24" i="20"/>
  <c r="D25" i="20"/>
  <c r="D26" i="20"/>
  <c r="E14" i="20"/>
  <c r="E15" i="20"/>
  <c r="E16" i="20"/>
  <c r="E17" i="20"/>
  <c r="E18" i="20"/>
  <c r="E19" i="20"/>
  <c r="E20" i="20"/>
  <c r="E21" i="20"/>
  <c r="E22" i="20"/>
  <c r="E23" i="20"/>
  <c r="E24" i="20"/>
  <c r="E25" i="20"/>
  <c r="E26" i="20"/>
  <c r="N26" i="20"/>
  <c r="N15" i="20"/>
  <c r="N16" i="20"/>
  <c r="N17" i="20"/>
  <c r="N18" i="20"/>
  <c r="N19" i="20"/>
  <c r="N20" i="20"/>
  <c r="N21" i="20"/>
  <c r="N22" i="20"/>
  <c r="N23" i="20"/>
  <c r="N24" i="20"/>
  <c r="N25" i="20"/>
  <c r="P14" i="20" l="1"/>
  <c r="A58" i="19"/>
  <c r="A59" i="19" s="1"/>
  <c r="A60" i="19" s="1"/>
  <c r="A61" i="19" s="1"/>
  <c r="A62" i="19" s="1"/>
  <c r="A63" i="19" s="1"/>
  <c r="A64" i="19" s="1"/>
  <c r="A65" i="19" s="1"/>
  <c r="A66" i="19" s="1"/>
  <c r="A67" i="19" s="1"/>
  <c r="A31" i="19"/>
  <c r="A30" i="19"/>
  <c r="A29" i="19"/>
  <c r="A28" i="19"/>
  <c r="A27" i="19"/>
  <c r="A26" i="19"/>
  <c r="A25" i="19"/>
  <c r="A24" i="19"/>
  <c r="A23" i="19"/>
  <c r="U22" i="9" l="1"/>
  <c r="G22" i="9"/>
  <c r="R22" i="9"/>
  <c r="D22" i="9"/>
  <c r="Y22" i="9"/>
  <c r="N22" i="9"/>
  <c r="J22" i="9"/>
  <c r="U21" i="9"/>
  <c r="G21" i="9"/>
  <c r="R21" i="9"/>
  <c r="D21" i="9"/>
  <c r="Y21" i="9"/>
  <c r="N21" i="9"/>
  <c r="J21" i="9"/>
  <c r="U20" i="9"/>
  <c r="G20" i="9"/>
  <c r="R20" i="9"/>
  <c r="D20" i="9"/>
  <c r="Y20" i="9"/>
  <c r="N20" i="9"/>
  <c r="J20" i="9"/>
  <c r="G19" i="9"/>
  <c r="U19" i="9"/>
  <c r="R19" i="9"/>
  <c r="D19" i="9"/>
  <c r="Y19" i="9"/>
  <c r="N19" i="9"/>
  <c r="J19" i="9"/>
  <c r="U18" i="9"/>
  <c r="G18" i="9"/>
  <c r="R18" i="9"/>
  <c r="D18" i="9"/>
  <c r="Y18" i="9"/>
  <c r="N18" i="9"/>
  <c r="J18" i="9"/>
  <c r="U17" i="9"/>
  <c r="G17" i="9"/>
  <c r="R17" i="9"/>
  <c r="D17" i="9"/>
  <c r="Y17" i="9"/>
  <c r="N17" i="9"/>
  <c r="J17" i="9"/>
  <c r="U16" i="9"/>
  <c r="G16" i="9"/>
  <c r="R16" i="9"/>
  <c r="D16" i="9"/>
  <c r="Y16" i="9"/>
  <c r="N16" i="9"/>
  <c r="J16" i="9"/>
  <c r="U15" i="9"/>
  <c r="G15" i="9"/>
  <c r="R15" i="9"/>
  <c r="D15" i="9"/>
  <c r="Y15" i="9"/>
  <c r="N15" i="9"/>
  <c r="J15" i="9"/>
  <c r="R14" i="9"/>
  <c r="D14" i="9"/>
  <c r="Y14" i="9"/>
  <c r="N14" i="9"/>
  <c r="J14" i="9"/>
  <c r="R13" i="9"/>
  <c r="D13" i="9"/>
  <c r="Y13" i="9"/>
  <c r="N13" i="9"/>
  <c r="J13" i="9"/>
  <c r="R12" i="9"/>
  <c r="D12" i="9"/>
  <c r="Y12" i="9"/>
  <c r="N12" i="9"/>
  <c r="J12" i="9"/>
  <c r="U11" i="9"/>
  <c r="G11" i="9"/>
  <c r="R11" i="9"/>
  <c r="D11" i="9"/>
  <c r="Y11" i="9"/>
  <c r="N11" i="9"/>
  <c r="J11" i="9"/>
  <c r="U10" i="9"/>
  <c r="G10" i="9"/>
  <c r="R10" i="9"/>
  <c r="D10" i="9"/>
  <c r="Y10" i="9"/>
  <c r="N10" i="9"/>
  <c r="J10" i="9"/>
  <c r="R37" i="9"/>
  <c r="D37" i="9"/>
  <c r="Y37" i="9"/>
  <c r="N37" i="9"/>
  <c r="J37" i="9"/>
  <c r="R36" i="9"/>
  <c r="D36" i="9"/>
  <c r="Y36" i="9"/>
  <c r="N36" i="9"/>
  <c r="J36" i="9"/>
  <c r="R35" i="9"/>
  <c r="D35" i="9"/>
  <c r="Y35" i="9"/>
  <c r="N35" i="9"/>
  <c r="J35" i="9"/>
  <c r="R34" i="9"/>
  <c r="D34" i="9"/>
  <c r="Y34" i="9"/>
  <c r="N34" i="9"/>
  <c r="J34" i="9"/>
  <c r="R33" i="9"/>
  <c r="D33" i="9"/>
  <c r="Y33" i="9"/>
  <c r="N33" i="9"/>
  <c r="J33" i="9"/>
  <c r="U32" i="9"/>
  <c r="G32" i="9"/>
  <c r="R32" i="9"/>
  <c r="D32" i="9"/>
  <c r="Y32" i="9"/>
  <c r="N32" i="9"/>
  <c r="J32" i="9"/>
  <c r="U31" i="9"/>
  <c r="G31" i="9"/>
  <c r="R31" i="9"/>
  <c r="D31" i="9"/>
  <c r="Y31" i="9"/>
  <c r="N31" i="9"/>
  <c r="J31" i="9"/>
  <c r="U30" i="9"/>
  <c r="G30" i="9"/>
  <c r="R30" i="9"/>
  <c r="D30" i="9"/>
  <c r="Y30" i="9"/>
  <c r="N30" i="9"/>
  <c r="J30" i="9"/>
  <c r="R29" i="9"/>
  <c r="D29" i="9"/>
  <c r="Y29" i="9"/>
  <c r="N29" i="9"/>
  <c r="J29" i="9"/>
  <c r="R28" i="9"/>
  <c r="D28" i="9"/>
  <c r="Y28" i="9"/>
  <c r="N28" i="9"/>
  <c r="J28" i="9"/>
  <c r="R27" i="9"/>
  <c r="D27" i="9"/>
  <c r="Y27" i="9"/>
  <c r="N27" i="9"/>
  <c r="J27" i="9"/>
  <c r="J3" i="9"/>
  <c r="N87" i="9"/>
  <c r="M87" i="9"/>
  <c r="I87" i="9"/>
  <c r="C87" i="9"/>
  <c r="H87" i="9"/>
  <c r="D87" i="9"/>
  <c r="U70" i="9"/>
  <c r="V70" i="9"/>
  <c r="G70" i="9"/>
  <c r="H70" i="9" s="1"/>
  <c r="R70" i="9"/>
  <c r="S70" i="9" s="1"/>
  <c r="D70" i="9"/>
  <c r="E70" i="9" s="1"/>
  <c r="Y70" i="9"/>
  <c r="N70" i="9"/>
  <c r="O70" i="9" s="1"/>
  <c r="J70" i="9"/>
  <c r="K70" i="9" s="1"/>
  <c r="U69" i="9"/>
  <c r="G69" i="9"/>
  <c r="R69" i="9"/>
  <c r="S69" i="9" s="1"/>
  <c r="T69" i="9" s="1"/>
  <c r="D69" i="9"/>
  <c r="Y69" i="9"/>
  <c r="N69" i="9"/>
  <c r="O69" i="9" s="1"/>
  <c r="J69" i="9"/>
  <c r="K69" i="9" s="1"/>
  <c r="M69" i="9" s="1"/>
  <c r="R68" i="9"/>
  <c r="S68" i="9" s="1"/>
  <c r="T68" i="9" s="1"/>
  <c r="D68" i="9"/>
  <c r="Y68" i="9"/>
  <c r="N68" i="9"/>
  <c r="O68" i="9" s="1"/>
  <c r="J68" i="9"/>
  <c r="K68" i="9" s="1"/>
  <c r="M68" i="9" s="1"/>
  <c r="R67" i="9"/>
  <c r="D67" i="9"/>
  <c r="Y67" i="9"/>
  <c r="N67" i="9"/>
  <c r="O67" i="9" s="1"/>
  <c r="J67" i="9"/>
  <c r="R66" i="9"/>
  <c r="D66" i="9"/>
  <c r="Y66" i="9"/>
  <c r="N66" i="9"/>
  <c r="J66" i="9"/>
  <c r="R65" i="9"/>
  <c r="S65" i="9" s="1"/>
  <c r="T65" i="9" s="1"/>
  <c r="D65" i="9"/>
  <c r="Y65" i="9"/>
  <c r="N65" i="9"/>
  <c r="J65" i="9"/>
  <c r="K65" i="9" s="1"/>
  <c r="M65" i="9" s="1"/>
  <c r="U64" i="9"/>
  <c r="G64" i="9"/>
  <c r="R64" i="9"/>
  <c r="S64" i="9" s="1"/>
  <c r="T64" i="9" s="1"/>
  <c r="D64" i="9"/>
  <c r="Y64" i="9"/>
  <c r="N64" i="9"/>
  <c r="J64" i="9"/>
  <c r="U63" i="9"/>
  <c r="G63" i="9"/>
  <c r="R63" i="9"/>
  <c r="D63" i="9"/>
  <c r="Y63" i="9"/>
  <c r="N63" i="9"/>
  <c r="O63" i="9" s="1"/>
  <c r="J63" i="9"/>
  <c r="R62" i="9"/>
  <c r="D62" i="9"/>
  <c r="Y62" i="9"/>
  <c r="N62" i="9"/>
  <c r="J62" i="9"/>
  <c r="K62" i="9" s="1"/>
  <c r="M62" i="9" s="1"/>
  <c r="R61" i="9"/>
  <c r="S61" i="9" s="1"/>
  <c r="T61" i="9" s="1"/>
  <c r="D61" i="9"/>
  <c r="Y61" i="9"/>
  <c r="N61" i="9"/>
  <c r="O61" i="9" s="1"/>
  <c r="J61" i="9"/>
  <c r="K61" i="9" s="1"/>
  <c r="M61" i="9" s="1"/>
  <c r="R60" i="9"/>
  <c r="S60" i="9" s="1"/>
  <c r="T60" i="9" s="1"/>
  <c r="D60" i="9"/>
  <c r="Y60" i="9"/>
  <c r="N60" i="9"/>
  <c r="O60" i="9" s="1"/>
  <c r="J60" i="9"/>
  <c r="K60" i="9" s="1"/>
  <c r="M60" i="9" s="1"/>
  <c r="U59" i="9"/>
  <c r="G59" i="9"/>
  <c r="R59" i="9"/>
  <c r="S59" i="9" s="1"/>
  <c r="T59" i="9" s="1"/>
  <c r="D59" i="9"/>
  <c r="Y59" i="9"/>
  <c r="N59" i="9"/>
  <c r="J59" i="9"/>
  <c r="K59" i="9" s="1"/>
  <c r="M59" i="9" s="1"/>
  <c r="U58" i="9"/>
  <c r="G58" i="9"/>
  <c r="R58" i="9"/>
  <c r="S58" i="9" s="1"/>
  <c r="T58" i="9" s="1"/>
  <c r="D58" i="9"/>
  <c r="Y58" i="9"/>
  <c r="N58" i="9"/>
  <c r="J58" i="9"/>
  <c r="K58" i="9"/>
  <c r="M58" i="9" s="1"/>
  <c r="K63" i="9"/>
  <c r="M63" i="9" s="1"/>
  <c r="K64" i="9"/>
  <c r="M64" i="9" s="1"/>
  <c r="K66" i="9"/>
  <c r="M66" i="9" s="1"/>
  <c r="K67" i="9"/>
  <c r="M67" i="9" s="1"/>
  <c r="O58" i="9"/>
  <c r="Q58" i="9" s="1"/>
  <c r="O59" i="9"/>
  <c r="O62" i="9"/>
  <c r="O64" i="9"/>
  <c r="O65" i="9"/>
  <c r="O66" i="9"/>
  <c r="S62" i="9"/>
  <c r="T62" i="9" s="1"/>
  <c r="S63" i="9"/>
  <c r="T63" i="9" s="1"/>
  <c r="S66" i="9"/>
  <c r="T66" i="9" s="1"/>
  <c r="S67" i="9"/>
  <c r="T67" i="9" s="1"/>
  <c r="R54" i="9"/>
  <c r="D54" i="9"/>
  <c r="Y54" i="9"/>
  <c r="Z54" i="9" s="1"/>
  <c r="N54" i="9"/>
  <c r="J54" i="9"/>
  <c r="R53" i="9"/>
  <c r="D53" i="9"/>
  <c r="Y53" i="9"/>
  <c r="Z53" i="9" s="1"/>
  <c r="N53" i="9"/>
  <c r="J53" i="9"/>
  <c r="R52" i="9"/>
  <c r="D52" i="9"/>
  <c r="Y52" i="9"/>
  <c r="N52" i="9"/>
  <c r="J52" i="9"/>
  <c r="R51" i="9"/>
  <c r="D51" i="9"/>
  <c r="Y51" i="9"/>
  <c r="Z51" i="9" s="1"/>
  <c r="N51" i="9"/>
  <c r="J51" i="9"/>
  <c r="R50" i="9"/>
  <c r="D50" i="9"/>
  <c r="Y50" i="9"/>
  <c r="Z50" i="9" s="1"/>
  <c r="N50" i="9"/>
  <c r="J50" i="9"/>
  <c r="R49" i="9"/>
  <c r="D49" i="9"/>
  <c r="Y49" i="9"/>
  <c r="Z49" i="9" s="1"/>
  <c r="N49" i="9"/>
  <c r="J49" i="9"/>
  <c r="U48" i="9"/>
  <c r="G48" i="9"/>
  <c r="R48" i="9"/>
  <c r="D48" i="9"/>
  <c r="Y48" i="9"/>
  <c r="Z48" i="9" s="1"/>
  <c r="N48" i="9"/>
  <c r="J48" i="9"/>
  <c r="U47" i="9"/>
  <c r="G47" i="9"/>
  <c r="R47" i="9"/>
  <c r="D47" i="9"/>
  <c r="Y47" i="9"/>
  <c r="Z47" i="9" s="1"/>
  <c r="N47" i="9"/>
  <c r="J47" i="9"/>
  <c r="U46" i="9"/>
  <c r="G46" i="9"/>
  <c r="R46" i="9"/>
  <c r="D46" i="9"/>
  <c r="Y46" i="9"/>
  <c r="N46" i="9"/>
  <c r="J46" i="9"/>
  <c r="U45" i="9"/>
  <c r="G45" i="9"/>
  <c r="R45" i="9"/>
  <c r="D45" i="9"/>
  <c r="Y45" i="9"/>
  <c r="Z45" i="9" s="1"/>
  <c r="N45" i="9"/>
  <c r="J45" i="9"/>
  <c r="U44" i="9"/>
  <c r="G44" i="9"/>
  <c r="R44" i="9"/>
  <c r="D44" i="9"/>
  <c r="Y44" i="9"/>
  <c r="Z44" i="9" s="1"/>
  <c r="N44" i="9"/>
  <c r="J44" i="9"/>
  <c r="R43" i="9"/>
  <c r="D43" i="9"/>
  <c r="Y43" i="9"/>
  <c r="N43" i="9"/>
  <c r="J43" i="9"/>
  <c r="R42" i="9"/>
  <c r="S42" i="9" s="1"/>
  <c r="T42" i="9" s="1"/>
  <c r="D42" i="9"/>
  <c r="E42" i="9" s="1"/>
  <c r="F42" i="9" s="1"/>
  <c r="Y42" i="9"/>
  <c r="N42" i="9"/>
  <c r="O42" i="9" s="1"/>
  <c r="J42" i="9"/>
  <c r="K42" i="9" s="1"/>
  <c r="M42" i="9" s="1"/>
  <c r="J4" i="9"/>
  <c r="D76" i="9"/>
  <c r="D77" i="9"/>
  <c r="D78" i="9"/>
  <c r="D79" i="9"/>
  <c r="D80" i="9"/>
  <c r="D81" i="9"/>
  <c r="D82" i="9"/>
  <c r="D83" i="9"/>
  <c r="D84" i="9"/>
  <c r="D85" i="9"/>
  <c r="D86" i="9"/>
  <c r="D75" i="9"/>
  <c r="I76" i="9"/>
  <c r="I77" i="9"/>
  <c r="I78" i="9"/>
  <c r="I79" i="9"/>
  <c r="I80" i="9"/>
  <c r="I81" i="9"/>
  <c r="I82" i="9"/>
  <c r="I83" i="9"/>
  <c r="I84" i="9"/>
  <c r="I85" i="9"/>
  <c r="I86" i="9"/>
  <c r="I75" i="9"/>
  <c r="N76" i="9"/>
  <c r="N77" i="9"/>
  <c r="N78" i="9"/>
  <c r="N79" i="9"/>
  <c r="N80" i="9"/>
  <c r="N81" i="9"/>
  <c r="N82" i="9"/>
  <c r="N83" i="9"/>
  <c r="N84" i="9"/>
  <c r="N85" i="9"/>
  <c r="N86" i="9"/>
  <c r="N75" i="9"/>
  <c r="N105" i="9"/>
  <c r="N106" i="9"/>
  <c r="N107" i="9"/>
  <c r="N108" i="9"/>
  <c r="N109" i="9"/>
  <c r="N110" i="9"/>
  <c r="N111" i="9"/>
  <c r="N112" i="9"/>
  <c r="N113" i="9"/>
  <c r="N114" i="9"/>
  <c r="N115" i="9"/>
  <c r="N116" i="9"/>
  <c r="N104" i="9"/>
  <c r="I105" i="9"/>
  <c r="I106" i="9"/>
  <c r="I107" i="9"/>
  <c r="I108" i="9"/>
  <c r="I109" i="9"/>
  <c r="I110" i="9"/>
  <c r="I111" i="9"/>
  <c r="I112" i="9"/>
  <c r="I113" i="9"/>
  <c r="I114" i="9"/>
  <c r="I115" i="9"/>
  <c r="I116" i="9"/>
  <c r="I104" i="9"/>
  <c r="D105" i="9"/>
  <c r="D106" i="9"/>
  <c r="D107" i="9"/>
  <c r="D108" i="9"/>
  <c r="D109" i="9"/>
  <c r="D110" i="9"/>
  <c r="D111" i="9"/>
  <c r="D112" i="9"/>
  <c r="D113" i="9"/>
  <c r="D114" i="9"/>
  <c r="D115" i="9"/>
  <c r="D116" i="9"/>
  <c r="D104" i="9"/>
  <c r="N135" i="9"/>
  <c r="N136" i="9"/>
  <c r="N137" i="9"/>
  <c r="N138" i="9"/>
  <c r="N139" i="9"/>
  <c r="N140" i="9"/>
  <c r="N141" i="9"/>
  <c r="N142" i="9"/>
  <c r="N143" i="9"/>
  <c r="N144" i="9"/>
  <c r="N134" i="9"/>
  <c r="I135" i="9"/>
  <c r="I136" i="9"/>
  <c r="I137" i="9"/>
  <c r="I138" i="9"/>
  <c r="I139" i="9"/>
  <c r="I140" i="9"/>
  <c r="I141" i="9"/>
  <c r="I142" i="9"/>
  <c r="I143" i="9"/>
  <c r="I144" i="9"/>
  <c r="I134" i="9"/>
  <c r="D135" i="9"/>
  <c r="D136" i="9"/>
  <c r="D137" i="9"/>
  <c r="D138" i="9"/>
  <c r="D139" i="9"/>
  <c r="D140" i="9"/>
  <c r="D141" i="9"/>
  <c r="D142" i="9"/>
  <c r="D143" i="9"/>
  <c r="D144" i="9"/>
  <c r="D134" i="9"/>
  <c r="N163" i="9"/>
  <c r="N164" i="9"/>
  <c r="N165" i="9"/>
  <c r="N166" i="9"/>
  <c r="N167" i="9"/>
  <c r="N168" i="9"/>
  <c r="N169" i="9"/>
  <c r="N170" i="9"/>
  <c r="N171" i="9"/>
  <c r="N172" i="9"/>
  <c r="N173" i="9"/>
  <c r="N174" i="9"/>
  <c r="N162" i="9"/>
  <c r="I163" i="9"/>
  <c r="I164" i="9"/>
  <c r="I165" i="9"/>
  <c r="I166" i="9"/>
  <c r="I167" i="9"/>
  <c r="I168" i="9"/>
  <c r="I169" i="9"/>
  <c r="I170" i="9"/>
  <c r="I171" i="9"/>
  <c r="I172" i="9"/>
  <c r="I173" i="9"/>
  <c r="I174" i="9"/>
  <c r="I162" i="9"/>
  <c r="D163" i="9"/>
  <c r="D164" i="9"/>
  <c r="D165" i="9"/>
  <c r="D166" i="9"/>
  <c r="D167" i="9"/>
  <c r="D168" i="9"/>
  <c r="D169" i="9"/>
  <c r="D170" i="9"/>
  <c r="D171" i="9"/>
  <c r="D172" i="9"/>
  <c r="D173" i="9"/>
  <c r="D174" i="9"/>
  <c r="D162" i="9"/>
  <c r="M104" i="9"/>
  <c r="H104" i="9"/>
  <c r="C104" i="9"/>
  <c r="Z43" i="9"/>
  <c r="Z46" i="9"/>
  <c r="Z52" i="9"/>
  <c r="H42" i="9"/>
  <c r="I42" i="9" s="1"/>
  <c r="Z42" i="9"/>
  <c r="AA42" i="9" s="1"/>
  <c r="AB42" i="9" s="1"/>
  <c r="V42" i="9"/>
  <c r="W42" i="9" s="1"/>
  <c r="H37" i="9"/>
  <c r="H27" i="9"/>
  <c r="I27" i="9" s="1"/>
  <c r="F2" i="9"/>
  <c r="Z119" i="16"/>
  <c r="AA119" i="16" s="1"/>
  <c r="Z120" i="16"/>
  <c r="AA120" i="16" s="1"/>
  <c r="Z121" i="16"/>
  <c r="AA121" i="16" s="1"/>
  <c r="Z122" i="16"/>
  <c r="AA122" i="16" s="1"/>
  <c r="Z123" i="16"/>
  <c r="AA123" i="16" s="1"/>
  <c r="Z124" i="16"/>
  <c r="AA124" i="16" s="1"/>
  <c r="Z125" i="16"/>
  <c r="AA125" i="16" s="1"/>
  <c r="Z126" i="16"/>
  <c r="AA126" i="16" s="1"/>
  <c r="Z127" i="16"/>
  <c r="AA127" i="16" s="1"/>
  <c r="Z128" i="16"/>
  <c r="AA128" i="16" s="1"/>
  <c r="Z118" i="16"/>
  <c r="AA118" i="16" s="1"/>
  <c r="X119" i="16"/>
  <c r="Y119" i="16" s="1"/>
  <c r="X120" i="16"/>
  <c r="Y120" i="16" s="1"/>
  <c r="X121" i="16"/>
  <c r="Y121" i="16" s="1"/>
  <c r="X122" i="16"/>
  <c r="Y122" i="16" s="1"/>
  <c r="X123" i="16"/>
  <c r="Y123" i="16" s="1"/>
  <c r="X124" i="16"/>
  <c r="Y124" i="16" s="1"/>
  <c r="X125" i="16"/>
  <c r="Y125" i="16" s="1"/>
  <c r="X126" i="16"/>
  <c r="Y126" i="16" s="1"/>
  <c r="X127" i="16"/>
  <c r="Y127" i="16" s="1"/>
  <c r="X128" i="16"/>
  <c r="Y128" i="16" s="1"/>
  <c r="X118" i="16"/>
  <c r="Y118" i="16" s="1"/>
  <c r="F134" i="16" s="1"/>
  <c r="Z72" i="16"/>
  <c r="AA72" i="16" s="1"/>
  <c r="Z73" i="16"/>
  <c r="AA73" i="16" s="1"/>
  <c r="Z74" i="16"/>
  <c r="AA74" i="16" s="1"/>
  <c r="Z75" i="16"/>
  <c r="AA75" i="16" s="1"/>
  <c r="Z76" i="16"/>
  <c r="AA76" i="16" s="1"/>
  <c r="Z77" i="16"/>
  <c r="AA77" i="16" s="1"/>
  <c r="Z78" i="16"/>
  <c r="AA78" i="16" s="1"/>
  <c r="Z79" i="16"/>
  <c r="AA79" i="16" s="1"/>
  <c r="Z80" i="16"/>
  <c r="AA80" i="16" s="1"/>
  <c r="Z71" i="16"/>
  <c r="AA71" i="16" s="1"/>
  <c r="X72" i="16"/>
  <c r="Y72" i="16" s="1"/>
  <c r="X73" i="16"/>
  <c r="Y73" i="16" s="1"/>
  <c r="X74" i="16"/>
  <c r="Y74" i="16" s="1"/>
  <c r="X75" i="16"/>
  <c r="Y75" i="16" s="1"/>
  <c r="X76" i="16"/>
  <c r="Y76" i="16" s="1"/>
  <c r="X77" i="16"/>
  <c r="Y77" i="16" s="1"/>
  <c r="X78" i="16"/>
  <c r="Y78" i="16" s="1"/>
  <c r="X79" i="16"/>
  <c r="Y79" i="16" s="1"/>
  <c r="X80" i="16"/>
  <c r="Y80" i="16" s="1"/>
  <c r="X71" i="16"/>
  <c r="Y71" i="16" s="1"/>
  <c r="D134" i="16" l="1"/>
  <c r="F87" i="16"/>
  <c r="D87" i="16"/>
  <c r="Q65" i="9"/>
  <c r="H83" i="20"/>
  <c r="Q59" i="9"/>
  <c r="H77" i="20"/>
  <c r="I77" i="20" s="1"/>
  <c r="J77" i="20" s="1"/>
  <c r="Q68" i="9"/>
  <c r="H86" i="20"/>
  <c r="X70" i="9"/>
  <c r="H88" i="20"/>
  <c r="Q42" i="9"/>
  <c r="H56" i="20"/>
  <c r="I56" i="20" s="1"/>
  <c r="J56" i="20" s="1"/>
  <c r="Q64" i="9"/>
  <c r="H82" i="20"/>
  <c r="Q61" i="9"/>
  <c r="H79" i="20"/>
  <c r="Q69" i="9"/>
  <c r="H87" i="20"/>
  <c r="Q62" i="9"/>
  <c r="H80" i="20"/>
  <c r="Q66" i="9"/>
  <c r="H84" i="20"/>
  <c r="Q60" i="9"/>
  <c r="H78" i="20"/>
  <c r="Q63" i="9"/>
  <c r="H81" i="20"/>
  <c r="Q67" i="9"/>
  <c r="H85" i="20"/>
  <c r="AE58" i="9"/>
  <c r="AD58" i="9"/>
  <c r="D69" i="19" s="1"/>
  <c r="X42" i="9"/>
  <c r="D39" i="19" s="1"/>
  <c r="I24" i="6"/>
  <c r="I25" i="6"/>
  <c r="I27" i="6"/>
  <c r="I28" i="6"/>
  <c r="I29" i="6"/>
  <c r="I31" i="6"/>
  <c r="I32" i="6"/>
  <c r="I33" i="6"/>
  <c r="I35" i="6"/>
  <c r="I36" i="6"/>
  <c r="I37" i="6"/>
  <c r="I39" i="6"/>
  <c r="I40" i="6"/>
  <c r="I41" i="6"/>
  <c r="I43" i="6"/>
  <c r="I44" i="6"/>
  <c r="I45" i="6"/>
  <c r="I47" i="6"/>
  <c r="I48" i="6"/>
  <c r="I49" i="6"/>
  <c r="I51" i="6"/>
  <c r="I52" i="6"/>
  <c r="I53" i="6"/>
  <c r="I55" i="6"/>
  <c r="I56" i="6"/>
  <c r="I57" i="6"/>
  <c r="I59" i="6"/>
  <c r="I60" i="6"/>
  <c r="I61" i="6"/>
  <c r="I63" i="6"/>
  <c r="I64" i="6"/>
  <c r="I65" i="6"/>
  <c r="I67" i="6"/>
  <c r="I68" i="6"/>
  <c r="I69" i="6"/>
  <c r="I71" i="6"/>
  <c r="I72" i="6"/>
  <c r="I73" i="6"/>
  <c r="I75" i="6"/>
  <c r="I76" i="6"/>
  <c r="I77" i="6"/>
  <c r="I79" i="6"/>
  <c r="I80" i="6"/>
  <c r="I81" i="6"/>
  <c r="I83" i="6"/>
  <c r="I84" i="6"/>
  <c r="I85" i="6"/>
  <c r="I87" i="6"/>
  <c r="I88" i="6"/>
  <c r="I89" i="6"/>
  <c r="I91" i="6"/>
  <c r="I92" i="6"/>
  <c r="I93" i="6"/>
  <c r="I95" i="6"/>
  <c r="I96" i="6"/>
  <c r="I97" i="6"/>
  <c r="I99" i="6"/>
  <c r="I100" i="6"/>
  <c r="I101" i="6"/>
  <c r="I103" i="6"/>
  <c r="I104" i="6"/>
  <c r="I105" i="6"/>
  <c r="I107" i="6"/>
  <c r="I108" i="6"/>
  <c r="I109" i="6"/>
  <c r="I111" i="6"/>
  <c r="I112" i="6"/>
  <c r="I113" i="6"/>
  <c r="I115" i="6"/>
  <c r="I116" i="6"/>
  <c r="I117" i="6"/>
  <c r="I119" i="6"/>
  <c r="I120" i="6"/>
  <c r="I121" i="6"/>
  <c r="I123" i="6"/>
  <c r="I124" i="6"/>
  <c r="I125" i="6"/>
  <c r="I127" i="6"/>
  <c r="I128" i="6"/>
  <c r="I129" i="6"/>
  <c r="I131" i="6"/>
  <c r="I132" i="6"/>
  <c r="I133" i="6"/>
  <c r="I135" i="6"/>
  <c r="I136" i="6"/>
  <c r="I137" i="6"/>
  <c r="I139" i="6"/>
  <c r="I140" i="6"/>
  <c r="I141" i="6"/>
  <c r="I143" i="6"/>
  <c r="I144" i="6"/>
  <c r="I145" i="6"/>
  <c r="I146" i="6"/>
  <c r="I147" i="6"/>
  <c r="I148" i="6"/>
  <c r="I149" i="6"/>
  <c r="I151" i="6"/>
  <c r="I152" i="6"/>
  <c r="I153" i="6"/>
  <c r="I154" i="6"/>
  <c r="I155" i="6"/>
  <c r="I156" i="6"/>
  <c r="I157" i="6"/>
  <c r="I159" i="6"/>
  <c r="I160" i="6"/>
  <c r="I161" i="6"/>
  <c r="I162" i="6"/>
  <c r="I163" i="6"/>
  <c r="I164" i="6"/>
  <c r="I165" i="6"/>
  <c r="I167" i="6"/>
  <c r="I168" i="6"/>
  <c r="I169" i="6"/>
  <c r="I170" i="6"/>
  <c r="I171" i="6"/>
  <c r="I172" i="6"/>
  <c r="I173" i="6"/>
  <c r="I175" i="6"/>
  <c r="I176" i="6"/>
  <c r="I177" i="6"/>
  <c r="I178" i="6"/>
  <c r="I179" i="6"/>
  <c r="I180" i="6"/>
  <c r="I181" i="6"/>
  <c r="I183" i="6"/>
  <c r="I184" i="6"/>
  <c r="I185" i="6"/>
  <c r="I186" i="6"/>
  <c r="I187" i="6"/>
  <c r="I188" i="6"/>
  <c r="I189" i="6"/>
  <c r="I191" i="6"/>
  <c r="I192" i="6"/>
  <c r="I193" i="6"/>
  <c r="I194" i="6"/>
  <c r="I195" i="6"/>
  <c r="I196" i="6"/>
  <c r="I197" i="6"/>
  <c r="I199" i="6"/>
  <c r="I200" i="6"/>
  <c r="I201" i="6"/>
  <c r="I202" i="6"/>
  <c r="I203" i="6"/>
  <c r="I204" i="6"/>
  <c r="I205" i="6"/>
  <c r="I207" i="6"/>
  <c r="I208" i="6"/>
  <c r="I209" i="6"/>
  <c r="I210" i="6"/>
  <c r="I211" i="6"/>
  <c r="I212" i="6"/>
  <c r="I213" i="6"/>
  <c r="I215" i="6"/>
  <c r="I216" i="6"/>
  <c r="I217" i="6"/>
  <c r="I218" i="6"/>
  <c r="I219" i="6"/>
  <c r="I220" i="6"/>
  <c r="I21" i="6"/>
  <c r="B17" i="6"/>
  <c r="I22" i="6" s="1"/>
  <c r="F22" i="6"/>
  <c r="F23" i="6"/>
  <c r="F24" i="6"/>
  <c r="F25" i="6"/>
  <c r="F26" i="6"/>
  <c r="F27" i="6"/>
  <c r="F28" i="6"/>
  <c r="F29" i="6"/>
  <c r="F30" i="6"/>
  <c r="F31" i="6"/>
  <c r="F32" i="6"/>
  <c r="F33" i="6"/>
  <c r="F34" i="6"/>
  <c r="F35" i="6"/>
  <c r="F36" i="6"/>
  <c r="F37" i="6"/>
  <c r="F38" i="6"/>
  <c r="F39" i="6"/>
  <c r="F40" i="6"/>
  <c r="F41" i="6"/>
  <c r="F42" i="6"/>
  <c r="F43" i="6"/>
  <c r="F44" i="6"/>
  <c r="F45" i="6"/>
  <c r="F46" i="6"/>
  <c r="F47" i="6"/>
  <c r="F48" i="6"/>
  <c r="F49" i="6"/>
  <c r="F50" i="6"/>
  <c r="F51" i="6"/>
  <c r="F52" i="6"/>
  <c r="F53" i="6"/>
  <c r="F54" i="6"/>
  <c r="F55" i="6"/>
  <c r="F56" i="6"/>
  <c r="F57" i="6"/>
  <c r="F58" i="6"/>
  <c r="F59" i="6"/>
  <c r="F60" i="6"/>
  <c r="F61" i="6"/>
  <c r="F62" i="6"/>
  <c r="F63" i="6"/>
  <c r="F64" i="6"/>
  <c r="F65" i="6"/>
  <c r="F66" i="6"/>
  <c r="F67" i="6"/>
  <c r="F68" i="6"/>
  <c r="F69" i="6"/>
  <c r="F70" i="6"/>
  <c r="F71" i="6"/>
  <c r="F72" i="6"/>
  <c r="F73" i="6"/>
  <c r="F74" i="6"/>
  <c r="F75" i="6"/>
  <c r="F76" i="6"/>
  <c r="F77" i="6"/>
  <c r="F78" i="6"/>
  <c r="F79" i="6"/>
  <c r="F80" i="6"/>
  <c r="F81" i="6"/>
  <c r="F82" i="6"/>
  <c r="F83" i="6"/>
  <c r="F84" i="6"/>
  <c r="F85" i="6"/>
  <c r="F86" i="6"/>
  <c r="F87" i="6"/>
  <c r="F88" i="6"/>
  <c r="F89" i="6"/>
  <c r="F90" i="6"/>
  <c r="F91" i="6"/>
  <c r="F92" i="6"/>
  <c r="F93" i="6"/>
  <c r="F94" i="6"/>
  <c r="F95" i="6"/>
  <c r="F96" i="6"/>
  <c r="F97" i="6"/>
  <c r="F98" i="6"/>
  <c r="F99" i="6"/>
  <c r="F100" i="6"/>
  <c r="F101" i="6"/>
  <c r="F102" i="6"/>
  <c r="F103" i="6"/>
  <c r="F104" i="6"/>
  <c r="F105" i="6"/>
  <c r="F106" i="6"/>
  <c r="F107" i="6"/>
  <c r="F108" i="6"/>
  <c r="F109" i="6"/>
  <c r="F110" i="6"/>
  <c r="F111" i="6"/>
  <c r="F112" i="6"/>
  <c r="F113" i="6"/>
  <c r="F114" i="6"/>
  <c r="F115" i="6"/>
  <c r="F116" i="6"/>
  <c r="F117" i="6"/>
  <c r="F118" i="6"/>
  <c r="F119" i="6"/>
  <c r="F120" i="6"/>
  <c r="F121" i="6"/>
  <c r="F122" i="6"/>
  <c r="F123" i="6"/>
  <c r="F124" i="6"/>
  <c r="F125" i="6"/>
  <c r="F126" i="6"/>
  <c r="F127" i="6"/>
  <c r="F128" i="6"/>
  <c r="F129" i="6"/>
  <c r="F130" i="6"/>
  <c r="F131" i="6"/>
  <c r="F132" i="6"/>
  <c r="F133" i="6"/>
  <c r="F134" i="6"/>
  <c r="F135" i="6"/>
  <c r="F136" i="6"/>
  <c r="F137" i="6"/>
  <c r="F138" i="6"/>
  <c r="F139" i="6"/>
  <c r="F140" i="6"/>
  <c r="F141" i="6"/>
  <c r="F142" i="6"/>
  <c r="F143" i="6"/>
  <c r="F144" i="6"/>
  <c r="F145" i="6"/>
  <c r="F146" i="6"/>
  <c r="F147" i="6"/>
  <c r="F148" i="6"/>
  <c r="F149" i="6"/>
  <c r="F150" i="6"/>
  <c r="F151" i="6"/>
  <c r="F152" i="6"/>
  <c r="F153" i="6"/>
  <c r="F154" i="6"/>
  <c r="F155" i="6"/>
  <c r="F156" i="6"/>
  <c r="F157" i="6"/>
  <c r="F158" i="6"/>
  <c r="F159" i="6"/>
  <c r="F160" i="6"/>
  <c r="F161" i="6"/>
  <c r="F162" i="6"/>
  <c r="F163" i="6"/>
  <c r="F164" i="6"/>
  <c r="F165" i="6"/>
  <c r="F166" i="6"/>
  <c r="F167" i="6"/>
  <c r="F168" i="6"/>
  <c r="F169" i="6"/>
  <c r="F170" i="6"/>
  <c r="F171" i="6"/>
  <c r="F172" i="6"/>
  <c r="F173" i="6"/>
  <c r="F174" i="6"/>
  <c r="F175" i="6"/>
  <c r="F176" i="6"/>
  <c r="F177" i="6"/>
  <c r="F178" i="6"/>
  <c r="F179" i="6"/>
  <c r="F180" i="6"/>
  <c r="F181" i="6"/>
  <c r="F182" i="6"/>
  <c r="F183" i="6"/>
  <c r="F184" i="6"/>
  <c r="F185" i="6"/>
  <c r="F186" i="6"/>
  <c r="F187" i="6"/>
  <c r="F188" i="6"/>
  <c r="F189" i="6"/>
  <c r="F190" i="6"/>
  <c r="F191" i="6"/>
  <c r="F192" i="6"/>
  <c r="F193" i="6"/>
  <c r="F194" i="6"/>
  <c r="F195" i="6"/>
  <c r="F196" i="6"/>
  <c r="F197" i="6"/>
  <c r="F198" i="6"/>
  <c r="F199" i="6"/>
  <c r="F200" i="6"/>
  <c r="F201" i="6"/>
  <c r="F202" i="6"/>
  <c r="F203" i="6"/>
  <c r="F204" i="6"/>
  <c r="F205" i="6"/>
  <c r="F206" i="6"/>
  <c r="F207" i="6"/>
  <c r="F208" i="6"/>
  <c r="F209" i="6"/>
  <c r="F210" i="6"/>
  <c r="F211" i="6"/>
  <c r="F212" i="6"/>
  <c r="F213" i="6"/>
  <c r="F214" i="6"/>
  <c r="F215" i="6"/>
  <c r="F216" i="6"/>
  <c r="F217" i="6"/>
  <c r="F218" i="6"/>
  <c r="F219" i="6"/>
  <c r="F220" i="6"/>
  <c r="F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E56" i="6"/>
  <c r="E57" i="6"/>
  <c r="E58" i="6"/>
  <c r="E59" i="6"/>
  <c r="E60" i="6"/>
  <c r="E61" i="6"/>
  <c r="E62" i="6"/>
  <c r="E63" i="6"/>
  <c r="E64" i="6"/>
  <c r="E65" i="6"/>
  <c r="E66" i="6"/>
  <c r="E67" i="6"/>
  <c r="E68" i="6"/>
  <c r="E69" i="6"/>
  <c r="E70" i="6"/>
  <c r="E71" i="6"/>
  <c r="E72" i="6"/>
  <c r="E73" i="6"/>
  <c r="E74" i="6"/>
  <c r="E75" i="6"/>
  <c r="E76" i="6"/>
  <c r="E77" i="6"/>
  <c r="E78" i="6"/>
  <c r="E79" i="6"/>
  <c r="E80" i="6"/>
  <c r="E81" i="6"/>
  <c r="E82" i="6"/>
  <c r="E83" i="6"/>
  <c r="E84" i="6"/>
  <c r="E85" i="6"/>
  <c r="E86" i="6"/>
  <c r="E87" i="6"/>
  <c r="E88" i="6"/>
  <c r="E89" i="6"/>
  <c r="E90" i="6"/>
  <c r="E91" i="6"/>
  <c r="E92" i="6"/>
  <c r="E93" i="6"/>
  <c r="E94" i="6"/>
  <c r="E95" i="6"/>
  <c r="E96" i="6"/>
  <c r="E97" i="6"/>
  <c r="E98" i="6"/>
  <c r="E99" i="6"/>
  <c r="E100" i="6"/>
  <c r="E101" i="6"/>
  <c r="E102" i="6"/>
  <c r="E103" i="6"/>
  <c r="E104" i="6"/>
  <c r="E105" i="6"/>
  <c r="E106" i="6"/>
  <c r="E107" i="6"/>
  <c r="E108" i="6"/>
  <c r="E109" i="6"/>
  <c r="E110" i="6"/>
  <c r="E111" i="6"/>
  <c r="E112" i="6"/>
  <c r="E113" i="6"/>
  <c r="E114" i="6"/>
  <c r="E115" i="6"/>
  <c r="E116" i="6"/>
  <c r="E117" i="6"/>
  <c r="E118" i="6"/>
  <c r="E119" i="6"/>
  <c r="E120" i="6"/>
  <c r="E121" i="6"/>
  <c r="E122" i="6"/>
  <c r="E123" i="6"/>
  <c r="E124" i="6"/>
  <c r="E125" i="6"/>
  <c r="E126" i="6"/>
  <c r="E127" i="6"/>
  <c r="E128" i="6"/>
  <c r="E129" i="6"/>
  <c r="E130" i="6"/>
  <c r="E131" i="6"/>
  <c r="E132" i="6"/>
  <c r="E133" i="6"/>
  <c r="E134" i="6"/>
  <c r="E135" i="6"/>
  <c r="E136" i="6"/>
  <c r="E137" i="6"/>
  <c r="E138" i="6"/>
  <c r="E139" i="6"/>
  <c r="E140" i="6"/>
  <c r="E141" i="6"/>
  <c r="E142" i="6"/>
  <c r="E143" i="6"/>
  <c r="E144" i="6"/>
  <c r="E145" i="6"/>
  <c r="E146" i="6"/>
  <c r="E147" i="6"/>
  <c r="E148" i="6"/>
  <c r="E149" i="6"/>
  <c r="E150" i="6"/>
  <c r="E151" i="6"/>
  <c r="E152" i="6"/>
  <c r="E153" i="6"/>
  <c r="E154" i="6"/>
  <c r="E155" i="6"/>
  <c r="E156" i="6"/>
  <c r="E157" i="6"/>
  <c r="E158" i="6"/>
  <c r="E159" i="6"/>
  <c r="E160" i="6"/>
  <c r="E161" i="6"/>
  <c r="E162" i="6"/>
  <c r="E163" i="6"/>
  <c r="E164" i="6"/>
  <c r="E165" i="6"/>
  <c r="E166" i="6"/>
  <c r="E167" i="6"/>
  <c r="E168" i="6"/>
  <c r="E169" i="6"/>
  <c r="E170" i="6"/>
  <c r="E171" i="6"/>
  <c r="E172" i="6"/>
  <c r="E173" i="6"/>
  <c r="E174" i="6"/>
  <c r="E175" i="6"/>
  <c r="E176" i="6"/>
  <c r="E177" i="6"/>
  <c r="E178" i="6"/>
  <c r="E179" i="6"/>
  <c r="E180" i="6"/>
  <c r="E181" i="6"/>
  <c r="E182" i="6"/>
  <c r="E183" i="6"/>
  <c r="E184" i="6"/>
  <c r="E185" i="6"/>
  <c r="E186" i="6"/>
  <c r="E187" i="6"/>
  <c r="E188" i="6"/>
  <c r="E189" i="6"/>
  <c r="E190" i="6"/>
  <c r="E191" i="6"/>
  <c r="E192" i="6"/>
  <c r="E193" i="6"/>
  <c r="E194" i="6"/>
  <c r="E195" i="6"/>
  <c r="E196" i="6"/>
  <c r="E197" i="6"/>
  <c r="E198" i="6"/>
  <c r="E199" i="6"/>
  <c r="E200" i="6"/>
  <c r="E201" i="6"/>
  <c r="E202" i="6"/>
  <c r="E203" i="6"/>
  <c r="E204" i="6"/>
  <c r="E205" i="6"/>
  <c r="E206" i="6"/>
  <c r="E207" i="6"/>
  <c r="E208" i="6"/>
  <c r="E209" i="6"/>
  <c r="E210" i="6"/>
  <c r="E211" i="6"/>
  <c r="E212" i="6"/>
  <c r="E213" i="6"/>
  <c r="E214" i="6"/>
  <c r="E215" i="6"/>
  <c r="E216" i="6"/>
  <c r="E217" i="6"/>
  <c r="E218" i="6"/>
  <c r="E219" i="6"/>
  <c r="E220" i="6"/>
  <c r="E21" i="6"/>
  <c r="G29" i="6"/>
  <c r="G35" i="6"/>
  <c r="G36" i="6"/>
  <c r="G52" i="6"/>
  <c r="G53" i="6"/>
  <c r="G59" i="6"/>
  <c r="G75" i="6"/>
  <c r="G76" i="6"/>
  <c r="G77" i="6"/>
  <c r="G93" i="6"/>
  <c r="G99" i="6"/>
  <c r="G100" i="6"/>
  <c r="G116" i="6"/>
  <c r="G117" i="6"/>
  <c r="G123" i="6"/>
  <c r="G139" i="6"/>
  <c r="G140" i="6"/>
  <c r="G141" i="6"/>
  <c r="G157" i="6"/>
  <c r="G163" i="6"/>
  <c r="G164" i="6"/>
  <c r="G180" i="6"/>
  <c r="G181" i="6"/>
  <c r="G187" i="6"/>
  <c r="G195" i="6"/>
  <c r="G203" i="6"/>
  <c r="G204" i="6"/>
  <c r="G205" i="6"/>
  <c r="G213" i="6"/>
  <c r="G21" i="6"/>
  <c r="D21" i="6"/>
  <c r="X3" i="1"/>
  <c r="H22" i="6"/>
  <c r="G22" i="6"/>
  <c r="K81" i="20" l="1"/>
  <c r="I81" i="20"/>
  <c r="J81" i="20" s="1"/>
  <c r="I83" i="20"/>
  <c r="J83" i="20" s="1"/>
  <c r="K83" i="20"/>
  <c r="I79" i="20"/>
  <c r="J79" i="20" s="1"/>
  <c r="K79" i="20"/>
  <c r="B93" i="20"/>
  <c r="D70" i="19"/>
  <c r="K82" i="20"/>
  <c r="P81" i="20" s="1"/>
  <c r="Q81" i="20" s="1"/>
  <c r="I82" i="20"/>
  <c r="J82" i="20" s="1"/>
  <c r="K84" i="20"/>
  <c r="I84" i="20"/>
  <c r="J84" i="20" s="1"/>
  <c r="K87" i="20"/>
  <c r="I87" i="20"/>
  <c r="J87" i="20" s="1"/>
  <c r="K86" i="20"/>
  <c r="I86" i="20"/>
  <c r="J86" i="20" s="1"/>
  <c r="K85" i="20"/>
  <c r="I85" i="20"/>
  <c r="J85" i="20" s="1"/>
  <c r="K78" i="20"/>
  <c r="P77" i="20" s="1"/>
  <c r="Q77" i="20" s="1"/>
  <c r="I78" i="20"/>
  <c r="J78" i="20" s="1"/>
  <c r="K80" i="20"/>
  <c r="I80" i="20"/>
  <c r="J80" i="20" s="1"/>
  <c r="K88" i="20"/>
  <c r="I88" i="20"/>
  <c r="H212" i="6"/>
  <c r="H188" i="6"/>
  <c r="H149" i="6"/>
  <c r="H125" i="6"/>
  <c r="H101" i="6"/>
  <c r="H67" i="6"/>
  <c r="H43" i="6"/>
  <c r="H211" i="6"/>
  <c r="H172" i="6"/>
  <c r="H148" i="6"/>
  <c r="H124" i="6"/>
  <c r="H85" i="6"/>
  <c r="H61" i="6"/>
  <c r="H37" i="6"/>
  <c r="H195" i="6"/>
  <c r="H171" i="6"/>
  <c r="H147" i="6"/>
  <c r="H108" i="6"/>
  <c r="H84" i="6"/>
  <c r="H60" i="6"/>
  <c r="H213" i="6"/>
  <c r="H189" i="6"/>
  <c r="H165" i="6"/>
  <c r="H131" i="6"/>
  <c r="H107" i="6"/>
  <c r="H83" i="6"/>
  <c r="H44" i="6"/>
  <c r="I138" i="6"/>
  <c r="I130" i="6"/>
  <c r="I122" i="6"/>
  <c r="I114" i="6"/>
  <c r="I106" i="6"/>
  <c r="I98" i="6"/>
  <c r="I90" i="6"/>
  <c r="I82" i="6"/>
  <c r="I74" i="6"/>
  <c r="I66" i="6"/>
  <c r="I58" i="6"/>
  <c r="I50" i="6"/>
  <c r="I42" i="6"/>
  <c r="I34" i="6"/>
  <c r="I26" i="6"/>
  <c r="I23" i="6"/>
  <c r="I214" i="6"/>
  <c r="I206" i="6"/>
  <c r="I198" i="6"/>
  <c r="I190" i="6"/>
  <c r="I182" i="6"/>
  <c r="I174" i="6"/>
  <c r="I166" i="6"/>
  <c r="I158" i="6"/>
  <c r="I150" i="6"/>
  <c r="I142" i="6"/>
  <c r="I134" i="6"/>
  <c r="I126" i="6"/>
  <c r="I118" i="6"/>
  <c r="I110" i="6"/>
  <c r="I102" i="6"/>
  <c r="I94" i="6"/>
  <c r="I86" i="6"/>
  <c r="I78" i="6"/>
  <c r="I70" i="6"/>
  <c r="I62" i="6"/>
  <c r="I54" i="6"/>
  <c r="I46" i="6"/>
  <c r="I38" i="6"/>
  <c r="I30" i="6"/>
  <c r="G220" i="6"/>
  <c r="G197" i="6"/>
  <c r="G179" i="6"/>
  <c r="G156" i="6"/>
  <c r="G133" i="6"/>
  <c r="G115" i="6"/>
  <c r="G92" i="6"/>
  <c r="G69" i="6"/>
  <c r="G51" i="6"/>
  <c r="G28" i="6"/>
  <c r="H205" i="6"/>
  <c r="H187" i="6"/>
  <c r="H164" i="6"/>
  <c r="H141" i="6"/>
  <c r="H123" i="6"/>
  <c r="H100" i="6"/>
  <c r="H77" i="6"/>
  <c r="H59" i="6"/>
  <c r="H36" i="6"/>
  <c r="G219" i="6"/>
  <c r="G196" i="6"/>
  <c r="G173" i="6"/>
  <c r="G155" i="6"/>
  <c r="G132" i="6"/>
  <c r="G109" i="6"/>
  <c r="G91" i="6"/>
  <c r="G68" i="6"/>
  <c r="G45" i="6"/>
  <c r="G27" i="6"/>
  <c r="H204" i="6"/>
  <c r="H181" i="6"/>
  <c r="H163" i="6"/>
  <c r="H140" i="6"/>
  <c r="H117" i="6"/>
  <c r="H99" i="6"/>
  <c r="H76" i="6"/>
  <c r="H53" i="6"/>
  <c r="H35" i="6"/>
  <c r="G172" i="6"/>
  <c r="G149" i="6"/>
  <c r="G131" i="6"/>
  <c r="G108" i="6"/>
  <c r="G85" i="6"/>
  <c r="G67" i="6"/>
  <c r="G44" i="6"/>
  <c r="H21" i="6"/>
  <c r="H203" i="6"/>
  <c r="H180" i="6"/>
  <c r="H157" i="6"/>
  <c r="H139" i="6"/>
  <c r="H116" i="6"/>
  <c r="H93" i="6"/>
  <c r="H75" i="6"/>
  <c r="H52" i="6"/>
  <c r="H29" i="6"/>
  <c r="G212" i="6"/>
  <c r="G189" i="6"/>
  <c r="G171" i="6"/>
  <c r="G148" i="6"/>
  <c r="G125" i="6"/>
  <c r="G107" i="6"/>
  <c r="G84" i="6"/>
  <c r="G61" i="6"/>
  <c r="G43" i="6"/>
  <c r="H220" i="6"/>
  <c r="H197" i="6"/>
  <c r="H179" i="6"/>
  <c r="H156" i="6"/>
  <c r="H133" i="6"/>
  <c r="H115" i="6"/>
  <c r="H92" i="6"/>
  <c r="H69" i="6"/>
  <c r="H51" i="6"/>
  <c r="H28" i="6"/>
  <c r="G211" i="6"/>
  <c r="G188" i="6"/>
  <c r="G165" i="6"/>
  <c r="G147" i="6"/>
  <c r="G124" i="6"/>
  <c r="G101" i="6"/>
  <c r="G83" i="6"/>
  <c r="G60" i="6"/>
  <c r="G37" i="6"/>
  <c r="H219" i="6"/>
  <c r="H196" i="6"/>
  <c r="H173" i="6"/>
  <c r="H155" i="6"/>
  <c r="H132" i="6"/>
  <c r="H109" i="6"/>
  <c r="H91" i="6"/>
  <c r="H68" i="6"/>
  <c r="H45" i="6"/>
  <c r="H27" i="6"/>
  <c r="G218" i="6"/>
  <c r="G210" i="6"/>
  <c r="G202" i="6"/>
  <c r="G194" i="6"/>
  <c r="G186" i="6"/>
  <c r="G178" i="6"/>
  <c r="G170" i="6"/>
  <c r="G162" i="6"/>
  <c r="G154" i="6"/>
  <c r="G146" i="6"/>
  <c r="G138" i="6"/>
  <c r="G130" i="6"/>
  <c r="G122" i="6"/>
  <c r="G114" i="6"/>
  <c r="G106" i="6"/>
  <c r="G98" i="6"/>
  <c r="G90" i="6"/>
  <c r="G82" i="6"/>
  <c r="G74" i="6"/>
  <c r="G66" i="6"/>
  <c r="G58" i="6"/>
  <c r="G50" i="6"/>
  <c r="G42" i="6"/>
  <c r="G34" i="6"/>
  <c r="G26" i="6"/>
  <c r="H218" i="6"/>
  <c r="H210" i="6"/>
  <c r="H202" i="6"/>
  <c r="H194" i="6"/>
  <c r="H186" i="6"/>
  <c r="H178" i="6"/>
  <c r="H170" i="6"/>
  <c r="H162" i="6"/>
  <c r="H154" i="6"/>
  <c r="H146" i="6"/>
  <c r="H138" i="6"/>
  <c r="H130" i="6"/>
  <c r="H122" i="6"/>
  <c r="H114" i="6"/>
  <c r="H106" i="6"/>
  <c r="H98" i="6"/>
  <c r="H90" i="6"/>
  <c r="H82" i="6"/>
  <c r="H74" i="6"/>
  <c r="H66" i="6"/>
  <c r="H58" i="6"/>
  <c r="H50" i="6"/>
  <c r="H42" i="6"/>
  <c r="H34" i="6"/>
  <c r="H26" i="6"/>
  <c r="G217" i="6"/>
  <c r="G209" i="6"/>
  <c r="G201" i="6"/>
  <c r="G193" i="6"/>
  <c r="G185" i="6"/>
  <c r="G177" i="6"/>
  <c r="G169" i="6"/>
  <c r="G161" i="6"/>
  <c r="G153" i="6"/>
  <c r="G145" i="6"/>
  <c r="G137" i="6"/>
  <c r="G129" i="6"/>
  <c r="G121" i="6"/>
  <c r="G113" i="6"/>
  <c r="G105" i="6"/>
  <c r="G97" i="6"/>
  <c r="G89" i="6"/>
  <c r="G81" i="6"/>
  <c r="G73" i="6"/>
  <c r="G65" i="6"/>
  <c r="G57" i="6"/>
  <c r="G49" i="6"/>
  <c r="G41" i="6"/>
  <c r="G33" i="6"/>
  <c r="G25" i="6"/>
  <c r="H217" i="6"/>
  <c r="H209" i="6"/>
  <c r="H201" i="6"/>
  <c r="H193" i="6"/>
  <c r="H185" i="6"/>
  <c r="H177" i="6"/>
  <c r="H169" i="6"/>
  <c r="H161" i="6"/>
  <c r="H153" i="6"/>
  <c r="H145" i="6"/>
  <c r="H137" i="6"/>
  <c r="H129" i="6"/>
  <c r="H121" i="6"/>
  <c r="H113" i="6"/>
  <c r="H105" i="6"/>
  <c r="H97" i="6"/>
  <c r="H89" i="6"/>
  <c r="H81" i="6"/>
  <c r="H73" i="6"/>
  <c r="H65" i="6"/>
  <c r="H57" i="6"/>
  <c r="H49" i="6"/>
  <c r="H41" i="6"/>
  <c r="H33" i="6"/>
  <c r="H25" i="6"/>
  <c r="G216" i="6"/>
  <c r="G208" i="6"/>
  <c r="G200" i="6"/>
  <c r="G192" i="6"/>
  <c r="G184" i="6"/>
  <c r="G176" i="6"/>
  <c r="G168" i="6"/>
  <c r="G160" i="6"/>
  <c r="G152" i="6"/>
  <c r="G144" i="6"/>
  <c r="G136" i="6"/>
  <c r="G128" i="6"/>
  <c r="G120" i="6"/>
  <c r="G112" i="6"/>
  <c r="G104" i="6"/>
  <c r="G96" i="6"/>
  <c r="G88" i="6"/>
  <c r="G80" i="6"/>
  <c r="G72" i="6"/>
  <c r="G64" i="6"/>
  <c r="G56" i="6"/>
  <c r="G48" i="6"/>
  <c r="G40" i="6"/>
  <c r="G32" i="6"/>
  <c r="G24" i="6"/>
  <c r="H216" i="6"/>
  <c r="H208" i="6"/>
  <c r="H200" i="6"/>
  <c r="H192" i="6"/>
  <c r="H184" i="6"/>
  <c r="H176" i="6"/>
  <c r="H168" i="6"/>
  <c r="H160" i="6"/>
  <c r="H152" i="6"/>
  <c r="H144" i="6"/>
  <c r="H136" i="6"/>
  <c r="H128" i="6"/>
  <c r="H120" i="6"/>
  <c r="H112" i="6"/>
  <c r="H104" i="6"/>
  <c r="H96" i="6"/>
  <c r="H88" i="6"/>
  <c r="H80" i="6"/>
  <c r="H72" i="6"/>
  <c r="H64" i="6"/>
  <c r="H56" i="6"/>
  <c r="H48" i="6"/>
  <c r="H40" i="6"/>
  <c r="H32" i="6"/>
  <c r="H24" i="6"/>
  <c r="G215" i="6"/>
  <c r="G207" i="6"/>
  <c r="G199" i="6"/>
  <c r="G191" i="6"/>
  <c r="G183" i="6"/>
  <c r="G175" i="6"/>
  <c r="G167" i="6"/>
  <c r="G159" i="6"/>
  <c r="G151" i="6"/>
  <c r="G143" i="6"/>
  <c r="G135" i="6"/>
  <c r="G127" i="6"/>
  <c r="G119" i="6"/>
  <c r="G111" i="6"/>
  <c r="G103" i="6"/>
  <c r="G95" i="6"/>
  <c r="G87" i="6"/>
  <c r="G79" i="6"/>
  <c r="G71" i="6"/>
  <c r="G63" i="6"/>
  <c r="G55" i="6"/>
  <c r="G47" i="6"/>
  <c r="G39" i="6"/>
  <c r="G31" i="6"/>
  <c r="G23" i="6"/>
  <c r="H215" i="6"/>
  <c r="H207" i="6"/>
  <c r="H199" i="6"/>
  <c r="H191" i="6"/>
  <c r="H183" i="6"/>
  <c r="H175" i="6"/>
  <c r="H167" i="6"/>
  <c r="H159" i="6"/>
  <c r="H151" i="6"/>
  <c r="H143" i="6"/>
  <c r="H135" i="6"/>
  <c r="H127" i="6"/>
  <c r="H119" i="6"/>
  <c r="H111" i="6"/>
  <c r="H103" i="6"/>
  <c r="H95" i="6"/>
  <c r="H87" i="6"/>
  <c r="H79" i="6"/>
  <c r="H71" i="6"/>
  <c r="H63" i="6"/>
  <c r="H55" i="6"/>
  <c r="H47" i="6"/>
  <c r="H39" i="6"/>
  <c r="H31" i="6"/>
  <c r="H23" i="6"/>
  <c r="G214" i="6"/>
  <c r="G206" i="6"/>
  <c r="G198" i="6"/>
  <c r="G190" i="6"/>
  <c r="G182" i="6"/>
  <c r="G174" i="6"/>
  <c r="G166" i="6"/>
  <c r="G158" i="6"/>
  <c r="G150" i="6"/>
  <c r="G142" i="6"/>
  <c r="G134" i="6"/>
  <c r="G126" i="6"/>
  <c r="G118" i="6"/>
  <c r="G110" i="6"/>
  <c r="G102" i="6"/>
  <c r="G94" i="6"/>
  <c r="G86" i="6"/>
  <c r="G78" i="6"/>
  <c r="G70" i="6"/>
  <c r="G62" i="6"/>
  <c r="G54" i="6"/>
  <c r="G46" i="6"/>
  <c r="G38" i="6"/>
  <c r="G30" i="6"/>
  <c r="H214" i="6"/>
  <c r="H206" i="6"/>
  <c r="H198" i="6"/>
  <c r="H190" i="6"/>
  <c r="H182" i="6"/>
  <c r="H174" i="6"/>
  <c r="H166" i="6"/>
  <c r="H158" i="6"/>
  <c r="H150" i="6"/>
  <c r="H142" i="6"/>
  <c r="H134" i="6"/>
  <c r="H126" i="6"/>
  <c r="H118" i="6"/>
  <c r="H110" i="6"/>
  <c r="H102" i="6"/>
  <c r="H94" i="6"/>
  <c r="H86" i="6"/>
  <c r="H78" i="6"/>
  <c r="H70" i="6"/>
  <c r="H62" i="6"/>
  <c r="H54" i="6"/>
  <c r="H46" i="6"/>
  <c r="H38" i="6"/>
  <c r="H30" i="6"/>
  <c r="K50" i="18"/>
  <c r="K51" i="18"/>
  <c r="K52" i="18"/>
  <c r="K53" i="18"/>
  <c r="K54" i="18"/>
  <c r="K55" i="18"/>
  <c r="K56" i="18"/>
  <c r="K57" i="18"/>
  <c r="K58" i="18"/>
  <c r="K59" i="18"/>
  <c r="K49" i="18"/>
  <c r="K34" i="18"/>
  <c r="K35" i="18"/>
  <c r="K36" i="18"/>
  <c r="K37" i="18"/>
  <c r="K38" i="18"/>
  <c r="K39" i="18"/>
  <c r="K40" i="18"/>
  <c r="K41" i="18"/>
  <c r="K42" i="18"/>
  <c r="K43" i="18"/>
  <c r="K33" i="18"/>
  <c r="K20" i="18"/>
  <c r="K21" i="18"/>
  <c r="K22" i="18"/>
  <c r="K23" i="18"/>
  <c r="K24" i="18"/>
  <c r="K25" i="18"/>
  <c r="K26" i="18"/>
  <c r="K27" i="18"/>
  <c r="K28" i="18"/>
  <c r="K19" i="18"/>
  <c r="K4" i="18"/>
  <c r="K5" i="18"/>
  <c r="K6" i="18"/>
  <c r="K7" i="18"/>
  <c r="K8" i="18"/>
  <c r="K9" i="18"/>
  <c r="K10" i="18"/>
  <c r="K11" i="18"/>
  <c r="K12" i="18"/>
  <c r="K13" i="18"/>
  <c r="K14" i="18"/>
  <c r="K3" i="18"/>
  <c r="P79" i="20" l="1"/>
  <c r="Q79" i="20" s="1"/>
  <c r="A93" i="20"/>
  <c r="C93" i="20" s="1"/>
  <c r="P87" i="20"/>
  <c r="Q87" i="20" s="1"/>
  <c r="P85" i="20"/>
  <c r="Q85" i="20" s="1"/>
  <c r="P83" i="20"/>
  <c r="Q83" i="20" s="1"/>
  <c r="P82" i="20"/>
  <c r="Q82" i="20" s="1"/>
  <c r="P84" i="20"/>
  <c r="Q84" i="20" s="1"/>
  <c r="P86" i="20"/>
  <c r="Q86" i="20" s="1"/>
  <c r="P78" i="20"/>
  <c r="Q78" i="20" s="1"/>
  <c r="P80" i="20"/>
  <c r="Q80" i="20" s="1"/>
  <c r="H59" i="18"/>
  <c r="H60" i="18"/>
  <c r="F59" i="18"/>
  <c r="F60" i="18"/>
  <c r="H33" i="18"/>
  <c r="F33" i="18"/>
  <c r="A60" i="18"/>
  <c r="A61" i="18" s="1"/>
  <c r="A62" i="18" s="1"/>
  <c r="A63" i="18" s="1"/>
  <c r="A64" i="18" s="1"/>
  <c r="A65" i="18" s="1"/>
  <c r="A66" i="18" s="1"/>
  <c r="A67" i="18" s="1"/>
  <c r="A68" i="18" s="1"/>
  <c r="A69" i="18" s="1"/>
  <c r="A70" i="18" s="1"/>
  <c r="A39" i="18"/>
  <c r="A38" i="18"/>
  <c r="A37" i="18"/>
  <c r="A36" i="18"/>
  <c r="A35" i="18"/>
  <c r="A34" i="18"/>
  <c r="A33" i="18"/>
  <c r="A32" i="18"/>
  <c r="A31" i="18"/>
  <c r="A30" i="18"/>
  <c r="A29" i="18"/>
  <c r="H49" i="18"/>
  <c r="H50" i="18"/>
  <c r="H51" i="18"/>
  <c r="H52" i="18"/>
  <c r="H53" i="18"/>
  <c r="H54" i="18"/>
  <c r="H55" i="18"/>
  <c r="H56" i="18"/>
  <c r="H57" i="18"/>
  <c r="H58" i="18"/>
  <c r="H35" i="18"/>
  <c r="H36" i="18"/>
  <c r="H37" i="18"/>
  <c r="H38" i="18"/>
  <c r="H39" i="18"/>
  <c r="H40" i="18"/>
  <c r="H41" i="18"/>
  <c r="H42" i="18"/>
  <c r="H43" i="18"/>
  <c r="H44" i="18"/>
  <c r="H34" i="18"/>
  <c r="H20" i="18"/>
  <c r="H21" i="18"/>
  <c r="H22" i="18"/>
  <c r="H23" i="18"/>
  <c r="H24" i="18"/>
  <c r="H25" i="18"/>
  <c r="H26" i="18"/>
  <c r="H27" i="18"/>
  <c r="H28" i="18"/>
  <c r="H29" i="18"/>
  <c r="H19" i="18"/>
  <c r="H4" i="18"/>
  <c r="H5" i="18"/>
  <c r="H6" i="18"/>
  <c r="H7" i="18"/>
  <c r="H8" i="18"/>
  <c r="H9" i="18"/>
  <c r="H10" i="18"/>
  <c r="H11" i="18"/>
  <c r="H12" i="18"/>
  <c r="H13" i="18"/>
  <c r="H14" i="18"/>
  <c r="H15" i="18"/>
  <c r="H3" i="18"/>
  <c r="F49" i="18"/>
  <c r="F50" i="18"/>
  <c r="F51" i="18"/>
  <c r="F52" i="18"/>
  <c r="F53" i="18"/>
  <c r="F54" i="18"/>
  <c r="F55" i="18"/>
  <c r="F56" i="18"/>
  <c r="F57" i="18"/>
  <c r="F58" i="18"/>
  <c r="F35" i="18"/>
  <c r="F36" i="18"/>
  <c r="F37" i="18"/>
  <c r="F38" i="18"/>
  <c r="F39" i="18"/>
  <c r="F40" i="18"/>
  <c r="F41" i="18"/>
  <c r="F42" i="18"/>
  <c r="F43" i="18"/>
  <c r="F44" i="18"/>
  <c r="F34" i="18"/>
  <c r="F20" i="18"/>
  <c r="F21" i="18"/>
  <c r="F22" i="18"/>
  <c r="F23" i="18"/>
  <c r="F24" i="18"/>
  <c r="F25" i="18"/>
  <c r="F26" i="18"/>
  <c r="F27" i="18"/>
  <c r="F28" i="18"/>
  <c r="F29" i="18"/>
  <c r="F19" i="18"/>
  <c r="F4" i="18"/>
  <c r="F5" i="18"/>
  <c r="F6" i="18"/>
  <c r="F7" i="18"/>
  <c r="F8" i="18"/>
  <c r="F9" i="18"/>
  <c r="F10" i="18"/>
  <c r="F11" i="18"/>
  <c r="F12" i="18"/>
  <c r="F13" i="18"/>
  <c r="F14" i="18"/>
  <c r="F15" i="18"/>
  <c r="F3" i="18"/>
  <c r="E50" i="18"/>
  <c r="E51" i="18" s="1"/>
  <c r="E52" i="18" s="1"/>
  <c r="E29" i="18"/>
  <c r="E28" i="18"/>
  <c r="E27" i="18"/>
  <c r="E26" i="18"/>
  <c r="E25" i="18"/>
  <c r="E24" i="18"/>
  <c r="E23" i="18"/>
  <c r="E22" i="18"/>
  <c r="E21" i="18"/>
  <c r="E20" i="18"/>
  <c r="E19" i="18"/>
  <c r="B8" i="18"/>
  <c r="B9" i="18" s="1"/>
  <c r="B2" i="18"/>
  <c r="B1" i="18"/>
  <c r="E48" i="16"/>
  <c r="E49" i="16"/>
  <c r="E50" i="16"/>
  <c r="E51" i="16"/>
  <c r="E52" i="16"/>
  <c r="E53" i="16"/>
  <c r="E54" i="16"/>
  <c r="E55" i="16"/>
  <c r="E56" i="16"/>
  <c r="E57" i="16"/>
  <c r="E58" i="16"/>
  <c r="E59" i="16"/>
  <c r="H48" i="16"/>
  <c r="H49" i="16"/>
  <c r="H50" i="16"/>
  <c r="H51" i="16"/>
  <c r="H52" i="16"/>
  <c r="H53" i="16"/>
  <c r="H54" i="16"/>
  <c r="H55" i="16"/>
  <c r="H56" i="16"/>
  <c r="H57" i="16"/>
  <c r="H58" i="16"/>
  <c r="H59" i="16"/>
  <c r="P48" i="16"/>
  <c r="P49" i="16"/>
  <c r="P50" i="16"/>
  <c r="P51" i="16"/>
  <c r="P52" i="16"/>
  <c r="P53" i="16"/>
  <c r="P54" i="16"/>
  <c r="P55" i="16"/>
  <c r="P56" i="16"/>
  <c r="P57" i="16"/>
  <c r="P58" i="16"/>
  <c r="P59" i="16"/>
  <c r="E47" i="16"/>
  <c r="H47" i="16"/>
  <c r="P47" i="16"/>
  <c r="W20" i="17"/>
  <c r="W21" i="17"/>
  <c r="X21" i="17" s="1"/>
  <c r="W22" i="17"/>
  <c r="X22" i="17" s="1"/>
  <c r="W23" i="17"/>
  <c r="X23" i="17" s="1"/>
  <c r="W24" i="17"/>
  <c r="X24" i="17" s="1"/>
  <c r="W25" i="17"/>
  <c r="W26" i="17"/>
  <c r="W27" i="17"/>
  <c r="X27" i="17" s="1"/>
  <c r="W28" i="17"/>
  <c r="W29" i="17"/>
  <c r="W30" i="17"/>
  <c r="X30" i="17" s="1"/>
  <c r="W31" i="17"/>
  <c r="X31" i="17" s="1"/>
  <c r="W32" i="17"/>
  <c r="W19" i="17"/>
  <c r="U20" i="17"/>
  <c r="U21" i="17"/>
  <c r="U22" i="17"/>
  <c r="V22" i="17" s="1"/>
  <c r="U23" i="17"/>
  <c r="V23" i="17" s="1"/>
  <c r="U24" i="17"/>
  <c r="V24" i="17" s="1"/>
  <c r="U25" i="17"/>
  <c r="V25" i="17" s="1"/>
  <c r="U26" i="17"/>
  <c r="U27" i="17"/>
  <c r="V27" i="17" s="1"/>
  <c r="U28" i="17"/>
  <c r="U29" i="17"/>
  <c r="U30" i="17"/>
  <c r="V30" i="17" s="1"/>
  <c r="U31" i="17"/>
  <c r="V31" i="17" s="1"/>
  <c r="U32" i="17"/>
  <c r="V32" i="17" s="1"/>
  <c r="U19" i="17"/>
  <c r="X32" i="17"/>
  <c r="R32" i="17"/>
  <c r="P32" i="17"/>
  <c r="H32" i="17"/>
  <c r="E32" i="17"/>
  <c r="R31" i="17"/>
  <c r="P31" i="17"/>
  <c r="H31" i="17"/>
  <c r="E31" i="17"/>
  <c r="R30" i="17"/>
  <c r="P30" i="17"/>
  <c r="H30" i="17"/>
  <c r="E30" i="17"/>
  <c r="X29" i="17"/>
  <c r="V29" i="17"/>
  <c r="R29" i="17"/>
  <c r="P29" i="17"/>
  <c r="H29" i="17"/>
  <c r="E29" i="17"/>
  <c r="X28" i="17"/>
  <c r="V28" i="17"/>
  <c r="R28" i="17"/>
  <c r="P28" i="17"/>
  <c r="D111" i="17" s="1"/>
  <c r="H28" i="17"/>
  <c r="C111" i="17" s="1"/>
  <c r="E28" i="17"/>
  <c r="B111" i="17" s="1"/>
  <c r="R27" i="17"/>
  <c r="P27" i="17"/>
  <c r="D96" i="17" s="1"/>
  <c r="H27" i="17"/>
  <c r="C96" i="17" s="1"/>
  <c r="E27" i="17"/>
  <c r="B96" i="17" s="1"/>
  <c r="X26" i="17"/>
  <c r="V26" i="17"/>
  <c r="R26" i="17"/>
  <c r="P26" i="17"/>
  <c r="H26" i="17"/>
  <c r="E26" i="17"/>
  <c r="X25" i="17"/>
  <c r="R25" i="17"/>
  <c r="P25" i="17"/>
  <c r="H25" i="17"/>
  <c r="E25" i="17"/>
  <c r="R24" i="17"/>
  <c r="P24" i="17"/>
  <c r="H24" i="17"/>
  <c r="E24" i="17"/>
  <c r="R23" i="17"/>
  <c r="P23" i="17"/>
  <c r="D81" i="17" s="1"/>
  <c r="H23" i="17"/>
  <c r="C81" i="17" s="1"/>
  <c r="E23" i="17"/>
  <c r="B81" i="17" s="1"/>
  <c r="R22" i="17"/>
  <c r="P22" i="17"/>
  <c r="D66" i="17" s="1"/>
  <c r="H22" i="17"/>
  <c r="C66" i="17" s="1"/>
  <c r="E22" i="17"/>
  <c r="B66" i="17" s="1"/>
  <c r="V21" i="17"/>
  <c r="R21" i="17"/>
  <c r="P21" i="17"/>
  <c r="D51" i="17" s="1"/>
  <c r="H21" i="17"/>
  <c r="C51" i="17" s="1"/>
  <c r="E21" i="17"/>
  <c r="B51" i="17" s="1"/>
  <c r="X20" i="17"/>
  <c r="V20" i="17"/>
  <c r="R20" i="17"/>
  <c r="P20" i="17"/>
  <c r="D36" i="17" s="1"/>
  <c r="H20" i="17"/>
  <c r="C36" i="17" s="1"/>
  <c r="E20" i="17"/>
  <c r="B36" i="17" s="1"/>
  <c r="X19" i="17"/>
  <c r="V19" i="17"/>
  <c r="R19" i="17"/>
  <c r="P19" i="17"/>
  <c r="H19" i="17"/>
  <c r="E19" i="17"/>
  <c r="W4" i="17"/>
  <c r="W5" i="17"/>
  <c r="X5" i="17" s="1"/>
  <c r="W6" i="17"/>
  <c r="W7" i="17"/>
  <c r="X7" i="17" s="1"/>
  <c r="W8" i="17"/>
  <c r="W9" i="17"/>
  <c r="W10" i="17"/>
  <c r="X10" i="17" s="1"/>
  <c r="W11" i="17"/>
  <c r="X11" i="17" s="1"/>
  <c r="W12" i="17"/>
  <c r="W13" i="17"/>
  <c r="X13" i="17" s="1"/>
  <c r="W14" i="17"/>
  <c r="X14" i="17" s="1"/>
  <c r="W15" i="17"/>
  <c r="X15" i="17" s="1"/>
  <c r="W3" i="17"/>
  <c r="U4" i="17"/>
  <c r="U5" i="17"/>
  <c r="U6" i="17"/>
  <c r="U7" i="17"/>
  <c r="V7" i="17" s="1"/>
  <c r="U8" i="17"/>
  <c r="V8" i="17" s="1"/>
  <c r="U9" i="17"/>
  <c r="U10" i="17"/>
  <c r="V10" i="17" s="1"/>
  <c r="U11" i="17"/>
  <c r="U12" i="17"/>
  <c r="U13" i="17"/>
  <c r="V13" i="17" s="1"/>
  <c r="U14" i="17"/>
  <c r="U15" i="17"/>
  <c r="V15" i="17" s="1"/>
  <c r="U3" i="17"/>
  <c r="V3" i="17" s="1"/>
  <c r="P15" i="17"/>
  <c r="H15" i="17"/>
  <c r="E15" i="17"/>
  <c r="A15" i="17"/>
  <c r="V14" i="17"/>
  <c r="P14" i="17"/>
  <c r="H14" i="17"/>
  <c r="E14" i="17"/>
  <c r="A14" i="17"/>
  <c r="P13" i="17"/>
  <c r="H13" i="17"/>
  <c r="E13" i="17"/>
  <c r="A13" i="17"/>
  <c r="X12" i="17"/>
  <c r="V12" i="17"/>
  <c r="P12" i="17"/>
  <c r="H12" i="17"/>
  <c r="E12" i="17"/>
  <c r="A12" i="17"/>
  <c r="V11" i="17"/>
  <c r="P11" i="17"/>
  <c r="H11" i="17"/>
  <c r="E11" i="17"/>
  <c r="A11" i="17"/>
  <c r="P10" i="17"/>
  <c r="D110" i="17" s="1"/>
  <c r="H10" i="17"/>
  <c r="C110" i="17" s="1"/>
  <c r="E10" i="17"/>
  <c r="B110" i="17" s="1"/>
  <c r="A10" i="17"/>
  <c r="X9" i="17"/>
  <c r="V9" i="17"/>
  <c r="P9" i="17"/>
  <c r="D95" i="17" s="1"/>
  <c r="H9" i="17"/>
  <c r="C95" i="17" s="1"/>
  <c r="E9" i="17"/>
  <c r="B95" i="17" s="1"/>
  <c r="A9" i="17"/>
  <c r="X8" i="17"/>
  <c r="P8" i="17"/>
  <c r="H8" i="17"/>
  <c r="E8" i="17"/>
  <c r="A8" i="17"/>
  <c r="P7" i="17"/>
  <c r="H7" i="17"/>
  <c r="E7" i="17"/>
  <c r="A7" i="17"/>
  <c r="X6" i="17"/>
  <c r="V6" i="17"/>
  <c r="P6" i="17"/>
  <c r="D80" i="17" s="1"/>
  <c r="H6" i="17"/>
  <c r="C80" i="17" s="1"/>
  <c r="E6" i="17"/>
  <c r="B80" i="17" s="1"/>
  <c r="A6" i="17"/>
  <c r="V5" i="17"/>
  <c r="P5" i="17"/>
  <c r="D65" i="17" s="1"/>
  <c r="H5" i="17"/>
  <c r="C65" i="17" s="1"/>
  <c r="E5" i="17"/>
  <c r="B65" i="17" s="1"/>
  <c r="A5" i="17"/>
  <c r="X4" i="17"/>
  <c r="V4" i="17"/>
  <c r="P4" i="17"/>
  <c r="D50" i="17" s="1"/>
  <c r="H4" i="17"/>
  <c r="C50" i="17" s="1"/>
  <c r="E4" i="17"/>
  <c r="B50" i="17" s="1"/>
  <c r="A4" i="17"/>
  <c r="X3" i="17"/>
  <c r="P3" i="17"/>
  <c r="D35" i="17" s="1"/>
  <c r="H3" i="17"/>
  <c r="C35" i="17" s="1"/>
  <c r="E3" i="17"/>
  <c r="B35" i="17" s="1"/>
  <c r="B75" i="12"/>
  <c r="C75" i="12"/>
  <c r="D75" i="12"/>
  <c r="E75" i="12"/>
  <c r="F75" i="12"/>
  <c r="G75" i="12"/>
  <c r="H75" i="12"/>
  <c r="I75" i="12"/>
  <c r="J75" i="12"/>
  <c r="K75" i="12"/>
  <c r="B76" i="12"/>
  <c r="C76" i="12"/>
  <c r="D76" i="12"/>
  <c r="E76" i="12"/>
  <c r="F76" i="12"/>
  <c r="G76" i="12"/>
  <c r="H76" i="12"/>
  <c r="I76" i="12"/>
  <c r="J76" i="12"/>
  <c r="K76" i="12"/>
  <c r="B77" i="12"/>
  <c r="C77" i="12"/>
  <c r="D77" i="12"/>
  <c r="E77" i="12"/>
  <c r="F77" i="12"/>
  <c r="G77" i="12"/>
  <c r="H77" i="12"/>
  <c r="I77" i="12"/>
  <c r="J77" i="12"/>
  <c r="K77" i="12"/>
  <c r="B78" i="12"/>
  <c r="C78" i="12"/>
  <c r="D78" i="12"/>
  <c r="E78" i="12"/>
  <c r="F78" i="12"/>
  <c r="G78" i="12"/>
  <c r="H78" i="12"/>
  <c r="I78" i="12"/>
  <c r="J78" i="12"/>
  <c r="K78" i="12"/>
  <c r="B79" i="12"/>
  <c r="C79" i="12"/>
  <c r="D79" i="12"/>
  <c r="E79" i="12"/>
  <c r="F79" i="12"/>
  <c r="G79" i="12"/>
  <c r="H79" i="12"/>
  <c r="I79" i="12"/>
  <c r="J79" i="12"/>
  <c r="K79" i="12"/>
  <c r="B80" i="12"/>
  <c r="C80" i="12"/>
  <c r="D80" i="12"/>
  <c r="E80" i="12"/>
  <c r="F80" i="12"/>
  <c r="G80" i="12"/>
  <c r="H80" i="12"/>
  <c r="I80" i="12"/>
  <c r="J80" i="12"/>
  <c r="K80" i="12"/>
  <c r="B81" i="12"/>
  <c r="C81" i="12"/>
  <c r="D81" i="12"/>
  <c r="E81" i="12"/>
  <c r="F81" i="12"/>
  <c r="G81" i="12"/>
  <c r="H81" i="12"/>
  <c r="I81" i="12"/>
  <c r="J81" i="12"/>
  <c r="K81" i="12"/>
  <c r="B82" i="12"/>
  <c r="C82" i="12"/>
  <c r="D82" i="12"/>
  <c r="E82" i="12"/>
  <c r="F82" i="12"/>
  <c r="G82" i="12"/>
  <c r="H82" i="12"/>
  <c r="I82" i="12"/>
  <c r="J82" i="12"/>
  <c r="K82" i="12"/>
  <c r="B83" i="12"/>
  <c r="C83" i="12"/>
  <c r="D83" i="12"/>
  <c r="E83" i="12"/>
  <c r="F83" i="12"/>
  <c r="G83" i="12"/>
  <c r="H83" i="12"/>
  <c r="I83" i="12"/>
  <c r="J83" i="12"/>
  <c r="K83" i="12"/>
  <c r="B84" i="12"/>
  <c r="C84" i="12"/>
  <c r="D84" i="12"/>
  <c r="E84" i="12"/>
  <c r="F84" i="12"/>
  <c r="G84" i="12"/>
  <c r="H84" i="12"/>
  <c r="I84" i="12"/>
  <c r="J84" i="12"/>
  <c r="K84" i="12"/>
  <c r="B85" i="12"/>
  <c r="C85" i="12"/>
  <c r="D85" i="12"/>
  <c r="E85" i="12"/>
  <c r="F85" i="12"/>
  <c r="G85" i="12"/>
  <c r="H85" i="12"/>
  <c r="I85" i="12"/>
  <c r="J85" i="12"/>
  <c r="K85" i="12"/>
  <c r="K74" i="12"/>
  <c r="J74" i="12"/>
  <c r="I74" i="12"/>
  <c r="H74" i="12"/>
  <c r="G74" i="12"/>
  <c r="F74" i="12"/>
  <c r="E74" i="12"/>
  <c r="D74" i="12"/>
  <c r="C74" i="12"/>
  <c r="B74" i="12"/>
  <c r="B58" i="12"/>
  <c r="C58" i="12"/>
  <c r="D58" i="12"/>
  <c r="E58" i="12"/>
  <c r="F58" i="12"/>
  <c r="G58" i="12"/>
  <c r="H58" i="12"/>
  <c r="I58" i="12"/>
  <c r="J58" i="12"/>
  <c r="K58" i="12"/>
  <c r="B59" i="12"/>
  <c r="C59" i="12"/>
  <c r="D59" i="12"/>
  <c r="E59" i="12"/>
  <c r="F59" i="12"/>
  <c r="G59" i="12"/>
  <c r="H59" i="12"/>
  <c r="I59" i="12"/>
  <c r="J59" i="12"/>
  <c r="K59" i="12"/>
  <c r="B60" i="12"/>
  <c r="C60" i="12"/>
  <c r="D60" i="12"/>
  <c r="E60" i="12"/>
  <c r="F60" i="12"/>
  <c r="G60" i="12"/>
  <c r="H60" i="12"/>
  <c r="I60" i="12"/>
  <c r="J60" i="12"/>
  <c r="K60" i="12"/>
  <c r="B61" i="12"/>
  <c r="C61" i="12"/>
  <c r="D61" i="12"/>
  <c r="E61" i="12"/>
  <c r="F61" i="12"/>
  <c r="G61" i="12"/>
  <c r="H61" i="12"/>
  <c r="I61" i="12"/>
  <c r="J61" i="12"/>
  <c r="K61" i="12"/>
  <c r="B62" i="12"/>
  <c r="C62" i="12"/>
  <c r="D62" i="12"/>
  <c r="E62" i="12"/>
  <c r="F62" i="12"/>
  <c r="G62" i="12"/>
  <c r="H62" i="12"/>
  <c r="I62" i="12"/>
  <c r="J62" i="12"/>
  <c r="K62" i="12"/>
  <c r="B63" i="12"/>
  <c r="C63" i="12"/>
  <c r="D63" i="12"/>
  <c r="E63" i="12"/>
  <c r="F63" i="12"/>
  <c r="G63" i="12"/>
  <c r="H63" i="12"/>
  <c r="I63" i="12"/>
  <c r="J63" i="12"/>
  <c r="K63" i="12"/>
  <c r="B64" i="12"/>
  <c r="C64" i="12"/>
  <c r="D64" i="12"/>
  <c r="E64" i="12"/>
  <c r="F64" i="12"/>
  <c r="G64" i="12"/>
  <c r="H64" i="12"/>
  <c r="I64" i="12"/>
  <c r="J64" i="12"/>
  <c r="K64" i="12"/>
  <c r="B65" i="12"/>
  <c r="C65" i="12"/>
  <c r="D65" i="12"/>
  <c r="E65" i="12"/>
  <c r="F65" i="12"/>
  <c r="G65" i="12"/>
  <c r="H65" i="12"/>
  <c r="I65" i="12"/>
  <c r="J65" i="12"/>
  <c r="K65" i="12"/>
  <c r="B66" i="12"/>
  <c r="C66" i="12"/>
  <c r="D66" i="12"/>
  <c r="E66" i="12"/>
  <c r="F66" i="12"/>
  <c r="G66" i="12"/>
  <c r="H66" i="12"/>
  <c r="I66" i="12"/>
  <c r="J66" i="12"/>
  <c r="K66" i="12"/>
  <c r="B67" i="12"/>
  <c r="C67" i="12"/>
  <c r="D67" i="12"/>
  <c r="E67" i="12"/>
  <c r="F67" i="12"/>
  <c r="G67" i="12"/>
  <c r="H67" i="12"/>
  <c r="I67" i="12"/>
  <c r="J67" i="12"/>
  <c r="K67" i="12"/>
  <c r="B68" i="12"/>
  <c r="C68" i="12"/>
  <c r="D68" i="12"/>
  <c r="E68" i="12"/>
  <c r="F68" i="12"/>
  <c r="G68" i="12"/>
  <c r="H68" i="12"/>
  <c r="I68" i="12"/>
  <c r="J68" i="12"/>
  <c r="K68" i="12"/>
  <c r="K57" i="12"/>
  <c r="J57" i="12"/>
  <c r="I57" i="12"/>
  <c r="H57" i="12"/>
  <c r="G57" i="12"/>
  <c r="F57" i="12"/>
  <c r="E57" i="12"/>
  <c r="D57" i="12"/>
  <c r="C57" i="12"/>
  <c r="B57" i="12"/>
  <c r="B40" i="12"/>
  <c r="C40" i="12"/>
  <c r="D40" i="12"/>
  <c r="E40" i="12"/>
  <c r="F40" i="12"/>
  <c r="G40" i="12"/>
  <c r="H40" i="12"/>
  <c r="I40" i="12"/>
  <c r="J40" i="12"/>
  <c r="K40" i="12"/>
  <c r="B41" i="12"/>
  <c r="C41" i="12"/>
  <c r="D41" i="12"/>
  <c r="E41" i="12"/>
  <c r="F41" i="12"/>
  <c r="G41" i="12"/>
  <c r="H41" i="12"/>
  <c r="I41" i="12"/>
  <c r="J41" i="12"/>
  <c r="K41" i="12"/>
  <c r="B42" i="12"/>
  <c r="C42" i="12"/>
  <c r="D42" i="12"/>
  <c r="E42" i="12"/>
  <c r="F42" i="12"/>
  <c r="G42" i="12"/>
  <c r="H42" i="12"/>
  <c r="I42" i="12"/>
  <c r="J42" i="12"/>
  <c r="K42" i="12"/>
  <c r="B43" i="12"/>
  <c r="C43" i="12"/>
  <c r="D43" i="12"/>
  <c r="E43" i="12"/>
  <c r="F43" i="12"/>
  <c r="G43" i="12"/>
  <c r="H43" i="12"/>
  <c r="I43" i="12"/>
  <c r="J43" i="12"/>
  <c r="K43" i="12"/>
  <c r="B44" i="12"/>
  <c r="C44" i="12"/>
  <c r="D44" i="12"/>
  <c r="E44" i="12"/>
  <c r="F44" i="12"/>
  <c r="G44" i="12"/>
  <c r="H44" i="12"/>
  <c r="I44" i="12"/>
  <c r="J44" i="12"/>
  <c r="K44" i="12"/>
  <c r="B45" i="12"/>
  <c r="C45" i="12"/>
  <c r="D45" i="12"/>
  <c r="E45" i="12"/>
  <c r="F45" i="12"/>
  <c r="G45" i="12"/>
  <c r="H45" i="12"/>
  <c r="I45" i="12"/>
  <c r="J45" i="12"/>
  <c r="K45" i="12"/>
  <c r="B46" i="12"/>
  <c r="C46" i="12"/>
  <c r="D46" i="12"/>
  <c r="E46" i="12"/>
  <c r="F46" i="12"/>
  <c r="G46" i="12"/>
  <c r="H46" i="12"/>
  <c r="I46" i="12"/>
  <c r="J46" i="12"/>
  <c r="K46" i="12"/>
  <c r="B47" i="12"/>
  <c r="C47" i="12"/>
  <c r="D47" i="12"/>
  <c r="E47" i="12"/>
  <c r="F47" i="12"/>
  <c r="G47" i="12"/>
  <c r="H47" i="12"/>
  <c r="I47" i="12"/>
  <c r="J47" i="12"/>
  <c r="K47" i="12"/>
  <c r="B48" i="12"/>
  <c r="C48" i="12"/>
  <c r="D48" i="12"/>
  <c r="E48" i="12"/>
  <c r="F48" i="12"/>
  <c r="G48" i="12"/>
  <c r="H48" i="12"/>
  <c r="I48" i="12"/>
  <c r="J48" i="12"/>
  <c r="K48" i="12"/>
  <c r="B49" i="12"/>
  <c r="C49" i="12"/>
  <c r="D49" i="12"/>
  <c r="E49" i="12"/>
  <c r="F49" i="12"/>
  <c r="G49" i="12"/>
  <c r="H49" i="12"/>
  <c r="I49" i="12"/>
  <c r="J49" i="12"/>
  <c r="K49" i="12"/>
  <c r="B50" i="12"/>
  <c r="C50" i="12"/>
  <c r="D50" i="12"/>
  <c r="E50" i="12"/>
  <c r="F50" i="12"/>
  <c r="G50" i="12"/>
  <c r="H50" i="12"/>
  <c r="I50" i="12"/>
  <c r="J50" i="12"/>
  <c r="K50" i="12"/>
  <c r="B51" i="12"/>
  <c r="C51" i="12"/>
  <c r="D51" i="12"/>
  <c r="E51" i="12"/>
  <c r="F51" i="12"/>
  <c r="G51" i="12"/>
  <c r="H51" i="12"/>
  <c r="I51" i="12"/>
  <c r="J51" i="12"/>
  <c r="K51" i="12"/>
  <c r="K39" i="12"/>
  <c r="J39" i="12"/>
  <c r="I39" i="12"/>
  <c r="H39" i="12"/>
  <c r="G39" i="12"/>
  <c r="F39" i="12"/>
  <c r="E39" i="12"/>
  <c r="D39" i="12"/>
  <c r="C39" i="12"/>
  <c r="B39" i="12"/>
  <c r="K23" i="12"/>
  <c r="K24" i="12"/>
  <c r="K25" i="12"/>
  <c r="K26" i="12"/>
  <c r="K27" i="12"/>
  <c r="K28" i="12"/>
  <c r="K29" i="12"/>
  <c r="K30" i="12"/>
  <c r="K31" i="12"/>
  <c r="K32" i="12"/>
  <c r="K33" i="12"/>
  <c r="K34" i="12"/>
  <c r="K22" i="12"/>
  <c r="J23" i="12"/>
  <c r="J24" i="12"/>
  <c r="J25" i="12"/>
  <c r="J26" i="12"/>
  <c r="J27" i="12"/>
  <c r="J28" i="12"/>
  <c r="J29" i="12"/>
  <c r="J30" i="12"/>
  <c r="J31" i="12"/>
  <c r="J32" i="12"/>
  <c r="J33" i="12"/>
  <c r="J34" i="12"/>
  <c r="J22" i="12"/>
  <c r="I23" i="12"/>
  <c r="I24" i="12"/>
  <c r="I25" i="12"/>
  <c r="I26" i="12"/>
  <c r="I27" i="12"/>
  <c r="I28" i="12"/>
  <c r="I29" i="12"/>
  <c r="I30" i="12"/>
  <c r="I31" i="12"/>
  <c r="I32" i="12"/>
  <c r="I33" i="12"/>
  <c r="I34" i="12"/>
  <c r="I22" i="12"/>
  <c r="H23" i="12"/>
  <c r="H24" i="12"/>
  <c r="H25" i="12"/>
  <c r="H26" i="12"/>
  <c r="H27" i="12"/>
  <c r="H28" i="12"/>
  <c r="H29" i="12"/>
  <c r="H30" i="12"/>
  <c r="H31" i="12"/>
  <c r="H32" i="12"/>
  <c r="H33" i="12"/>
  <c r="H34" i="12"/>
  <c r="H22" i="12"/>
  <c r="G23" i="12"/>
  <c r="G24" i="12"/>
  <c r="G25" i="12"/>
  <c r="G26" i="12"/>
  <c r="G27" i="12"/>
  <c r="G28" i="12"/>
  <c r="G29" i="12"/>
  <c r="G30" i="12"/>
  <c r="G31" i="12"/>
  <c r="G32" i="12"/>
  <c r="G33" i="12"/>
  <c r="G34" i="12"/>
  <c r="G22" i="12"/>
  <c r="F23" i="12"/>
  <c r="F24" i="12"/>
  <c r="F25" i="12"/>
  <c r="F26" i="12"/>
  <c r="F27" i="12"/>
  <c r="F28" i="12"/>
  <c r="F29" i="12"/>
  <c r="F30" i="12"/>
  <c r="F31" i="12"/>
  <c r="F32" i="12"/>
  <c r="F33" i="12"/>
  <c r="F34" i="12"/>
  <c r="F22" i="12"/>
  <c r="E23" i="12"/>
  <c r="E24" i="12"/>
  <c r="E25" i="12"/>
  <c r="E26" i="12"/>
  <c r="E27" i="12"/>
  <c r="E28" i="12"/>
  <c r="E29" i="12"/>
  <c r="E30" i="12"/>
  <c r="E31" i="12"/>
  <c r="E32" i="12"/>
  <c r="E33" i="12"/>
  <c r="E34" i="12"/>
  <c r="E22" i="12"/>
  <c r="D23" i="12"/>
  <c r="D24" i="12"/>
  <c r="D25" i="12"/>
  <c r="D26" i="12"/>
  <c r="D27" i="12"/>
  <c r="D28" i="12"/>
  <c r="D29" i="12"/>
  <c r="D30" i="12"/>
  <c r="D31" i="12"/>
  <c r="D32" i="12"/>
  <c r="D33" i="12"/>
  <c r="D34" i="12"/>
  <c r="D22" i="12"/>
  <c r="B23" i="12"/>
  <c r="B24" i="12"/>
  <c r="B25" i="12"/>
  <c r="B26" i="12"/>
  <c r="B27" i="12"/>
  <c r="B28" i="12"/>
  <c r="B29" i="12"/>
  <c r="B30" i="12"/>
  <c r="B31" i="12"/>
  <c r="B32" i="12"/>
  <c r="B33" i="12"/>
  <c r="B34" i="12"/>
  <c r="B22" i="12"/>
  <c r="C23" i="12"/>
  <c r="C24" i="12"/>
  <c r="C25" i="12"/>
  <c r="C26" i="12"/>
  <c r="C27" i="12"/>
  <c r="C28" i="12"/>
  <c r="C29" i="12"/>
  <c r="C30" i="12"/>
  <c r="C31" i="12"/>
  <c r="C32" i="12"/>
  <c r="C33" i="12"/>
  <c r="C34" i="12"/>
  <c r="C22" i="12"/>
  <c r="D121" i="17" l="1"/>
  <c r="D116" i="17"/>
  <c r="D119" i="17"/>
  <c r="D122" i="17"/>
  <c r="D117" i="17"/>
  <c r="D114" i="17"/>
  <c r="D120" i="17"/>
  <c r="D115" i="17"/>
  <c r="D118" i="17"/>
  <c r="B61" i="17"/>
  <c r="B62" i="17"/>
  <c r="B55" i="17"/>
  <c r="B54" i="17"/>
  <c r="B56" i="17"/>
  <c r="B57" i="17"/>
  <c r="B58" i="17"/>
  <c r="B59" i="17"/>
  <c r="B60" i="17"/>
  <c r="D75" i="17"/>
  <c r="D70" i="17"/>
  <c r="D73" i="17"/>
  <c r="D76" i="17"/>
  <c r="D71" i="17"/>
  <c r="D74" i="17"/>
  <c r="D77" i="17"/>
  <c r="D72" i="17"/>
  <c r="D69" i="17"/>
  <c r="C85" i="17"/>
  <c r="C88" i="17"/>
  <c r="C91" i="17"/>
  <c r="C86" i="17"/>
  <c r="C89" i="17"/>
  <c r="C92" i="17"/>
  <c r="C87" i="17"/>
  <c r="C90" i="17"/>
  <c r="C84" i="17"/>
  <c r="C70" i="17"/>
  <c r="C69" i="17"/>
  <c r="C73" i="17"/>
  <c r="C76" i="17"/>
  <c r="C71" i="17"/>
  <c r="C74" i="17"/>
  <c r="C77" i="17"/>
  <c r="C72" i="17"/>
  <c r="C75" i="17"/>
  <c r="C62" i="17"/>
  <c r="C55" i="17"/>
  <c r="C54" i="17"/>
  <c r="C56" i="17"/>
  <c r="C57" i="17"/>
  <c r="C58" i="17"/>
  <c r="C59" i="17"/>
  <c r="C60" i="17"/>
  <c r="C61" i="17"/>
  <c r="B73" i="17"/>
  <c r="B76" i="17"/>
  <c r="B69" i="17"/>
  <c r="B71" i="17"/>
  <c r="B74" i="17"/>
  <c r="B77" i="17"/>
  <c r="B72" i="17"/>
  <c r="B75" i="17"/>
  <c r="B70" i="17"/>
  <c r="C106" i="17"/>
  <c r="C101" i="17"/>
  <c r="C104" i="17"/>
  <c r="C107" i="17"/>
  <c r="C102" i="17"/>
  <c r="C105" i="17"/>
  <c r="C100" i="17"/>
  <c r="C99" i="17"/>
  <c r="C103" i="17"/>
  <c r="B45" i="17"/>
  <c r="B46" i="17"/>
  <c r="B47" i="17"/>
  <c r="B40" i="17"/>
  <c r="B39" i="17"/>
  <c r="B41" i="17"/>
  <c r="B42" i="17"/>
  <c r="B43" i="17"/>
  <c r="B44" i="17"/>
  <c r="D55" i="17"/>
  <c r="D54" i="17"/>
  <c r="D56" i="17"/>
  <c r="D57" i="17"/>
  <c r="D58" i="17"/>
  <c r="D59" i="17"/>
  <c r="D60" i="17"/>
  <c r="D61" i="17"/>
  <c r="D62" i="17"/>
  <c r="B101" i="17"/>
  <c r="B104" i="17"/>
  <c r="B107" i="17"/>
  <c r="B102" i="17"/>
  <c r="B105" i="17"/>
  <c r="B100" i="17"/>
  <c r="B103" i="17"/>
  <c r="B106" i="17"/>
  <c r="B99" i="17"/>
  <c r="D90" i="17"/>
  <c r="D85" i="17"/>
  <c r="D88" i="17"/>
  <c r="D91" i="17"/>
  <c r="D86" i="17"/>
  <c r="D89" i="17"/>
  <c r="D92" i="17"/>
  <c r="D84" i="17"/>
  <c r="D87" i="17"/>
  <c r="D103" i="17"/>
  <c r="D106" i="17"/>
  <c r="D101" i="17"/>
  <c r="D104" i="17"/>
  <c r="D107" i="17"/>
  <c r="D102" i="17"/>
  <c r="D99" i="17"/>
  <c r="D105" i="17"/>
  <c r="D100" i="17"/>
  <c r="C46" i="17"/>
  <c r="C47" i="17"/>
  <c r="C40" i="17"/>
  <c r="C39" i="17"/>
  <c r="C41" i="17"/>
  <c r="C42" i="17"/>
  <c r="C43" i="17"/>
  <c r="C44" i="17"/>
  <c r="C45" i="17"/>
  <c r="B119" i="17"/>
  <c r="B122" i="17"/>
  <c r="B117" i="17"/>
  <c r="B120" i="17"/>
  <c r="B115" i="17"/>
  <c r="B118" i="17"/>
  <c r="B121" i="17"/>
  <c r="B114" i="17"/>
  <c r="B116" i="17"/>
  <c r="D47" i="17"/>
  <c r="D40" i="17"/>
  <c r="D39" i="17"/>
  <c r="D41" i="17"/>
  <c r="D42" i="17"/>
  <c r="D43" i="17"/>
  <c r="D44" i="17"/>
  <c r="D45" i="17"/>
  <c r="D46" i="17"/>
  <c r="B88" i="17"/>
  <c r="B84" i="17"/>
  <c r="B91" i="17"/>
  <c r="B86" i="17"/>
  <c r="B89" i="17"/>
  <c r="B92" i="17"/>
  <c r="B87" i="17"/>
  <c r="B90" i="17"/>
  <c r="B85" i="17"/>
  <c r="C116" i="17"/>
  <c r="C119" i="17"/>
  <c r="C122" i="17"/>
  <c r="C117" i="17"/>
  <c r="C120" i="17"/>
  <c r="C115" i="17"/>
  <c r="C114" i="17"/>
  <c r="C118" i="17"/>
  <c r="C121" i="17"/>
  <c r="A91" i="20"/>
  <c r="G60" i="18"/>
  <c r="G59" i="18"/>
  <c r="I60" i="18"/>
  <c r="I59" i="18"/>
  <c r="G33" i="18"/>
  <c r="I33" i="18"/>
  <c r="I22" i="18"/>
  <c r="G15" i="18"/>
  <c r="G11" i="18"/>
  <c r="G7" i="18"/>
  <c r="G19" i="18"/>
  <c r="G26" i="18"/>
  <c r="G22" i="18"/>
  <c r="G44" i="18"/>
  <c r="G40" i="18"/>
  <c r="G36" i="18"/>
  <c r="G57" i="18"/>
  <c r="G28" i="18"/>
  <c r="G38" i="18"/>
  <c r="G51" i="18"/>
  <c r="I15" i="18"/>
  <c r="I11" i="18"/>
  <c r="I7" i="18"/>
  <c r="I19" i="18"/>
  <c r="I26" i="18"/>
  <c r="I44" i="18"/>
  <c r="I40" i="18"/>
  <c r="I36" i="18"/>
  <c r="I53" i="18"/>
  <c r="I49" i="18"/>
  <c r="G3" i="18"/>
  <c r="G12" i="18"/>
  <c r="G8" i="18"/>
  <c r="G4" i="18"/>
  <c r="G27" i="18"/>
  <c r="G23" i="18"/>
  <c r="G34" i="18"/>
  <c r="G41" i="18"/>
  <c r="G37" i="18"/>
  <c r="G58" i="18"/>
  <c r="G54" i="18"/>
  <c r="G50" i="18"/>
  <c r="I57" i="18"/>
  <c r="I14" i="18"/>
  <c r="I6" i="18"/>
  <c r="I25" i="18"/>
  <c r="I43" i="18"/>
  <c r="I39" i="18"/>
  <c r="I56" i="18"/>
  <c r="I13" i="18"/>
  <c r="I9" i="18"/>
  <c r="I5" i="18"/>
  <c r="I28" i="18"/>
  <c r="I24" i="18"/>
  <c r="I20" i="18"/>
  <c r="I42" i="18"/>
  <c r="I38" i="18"/>
  <c r="I55" i="18"/>
  <c r="I51" i="18"/>
  <c r="I10" i="18"/>
  <c r="I29" i="18"/>
  <c r="I21" i="18"/>
  <c r="I35" i="18"/>
  <c r="I52" i="18"/>
  <c r="G14" i="18"/>
  <c r="G10" i="18"/>
  <c r="G6" i="18"/>
  <c r="G29" i="18"/>
  <c r="G25" i="18"/>
  <c r="G21" i="18"/>
  <c r="G43" i="18"/>
  <c r="G39" i="18"/>
  <c r="G35" i="18"/>
  <c r="G56" i="18"/>
  <c r="G52" i="18"/>
  <c r="I3" i="18"/>
  <c r="I12" i="18"/>
  <c r="I8" i="18"/>
  <c r="I4" i="18"/>
  <c r="I27" i="18"/>
  <c r="I23" i="18"/>
  <c r="I34" i="18"/>
  <c r="I41" i="18"/>
  <c r="I37" i="18"/>
  <c r="I58" i="18"/>
  <c r="I54" i="18"/>
  <c r="I50" i="18"/>
  <c r="G53" i="18"/>
  <c r="G49" i="18"/>
  <c r="G5" i="18"/>
  <c r="G42" i="18"/>
  <c r="G9" i="18"/>
  <c r="G20" i="18"/>
  <c r="G55" i="18"/>
  <c r="G13" i="18"/>
  <c r="G24" i="18"/>
  <c r="E53" i="18"/>
  <c r="E54" i="18" l="1"/>
  <c r="E55" i="18" l="1"/>
  <c r="C48" i="11"/>
  <c r="C153" i="11"/>
  <c r="C100" i="11"/>
  <c r="C206" i="11"/>
  <c r="B209" i="11"/>
  <c r="B208" i="11"/>
  <c r="B207" i="11"/>
  <c r="B206" i="11"/>
  <c r="G192" i="11"/>
  <c r="G193" i="11"/>
  <c r="G194" i="11"/>
  <c r="G195" i="11"/>
  <c r="G196" i="11"/>
  <c r="G197" i="11"/>
  <c r="G198" i="11"/>
  <c r="G199" i="11"/>
  <c r="G200" i="11"/>
  <c r="G201" i="11"/>
  <c r="G202" i="11"/>
  <c r="G191" i="11"/>
  <c r="F192" i="11"/>
  <c r="F193" i="11"/>
  <c r="F194" i="11"/>
  <c r="F195" i="11"/>
  <c r="F196" i="11"/>
  <c r="F197" i="11"/>
  <c r="F198" i="11"/>
  <c r="F199" i="11"/>
  <c r="F200" i="11"/>
  <c r="F201" i="11"/>
  <c r="F202" i="11"/>
  <c r="F203" i="11"/>
  <c r="F191" i="11"/>
  <c r="U191" i="11"/>
  <c r="S192" i="11"/>
  <c r="S193" i="11"/>
  <c r="S194" i="11"/>
  <c r="S195" i="11"/>
  <c r="S196" i="11"/>
  <c r="S197" i="11"/>
  <c r="S198" i="11"/>
  <c r="S199" i="11"/>
  <c r="S200" i="11"/>
  <c r="S201" i="11"/>
  <c r="S202" i="11"/>
  <c r="S191" i="11"/>
  <c r="R192" i="11"/>
  <c r="R193" i="11"/>
  <c r="R194" i="11"/>
  <c r="R195" i="11"/>
  <c r="R196" i="11"/>
  <c r="R197" i="11"/>
  <c r="R198" i="11"/>
  <c r="R199" i="11"/>
  <c r="R200" i="11"/>
  <c r="R201" i="11"/>
  <c r="R202" i="11"/>
  <c r="R203" i="11"/>
  <c r="R191" i="11"/>
  <c r="Q203" i="11"/>
  <c r="Q202" i="11"/>
  <c r="Q201" i="11"/>
  <c r="Q200" i="11"/>
  <c r="Q199" i="11"/>
  <c r="Q198" i="11"/>
  <c r="Q197" i="11"/>
  <c r="Q196" i="11"/>
  <c r="Q195" i="11"/>
  <c r="Q194" i="11"/>
  <c r="Q193" i="11"/>
  <c r="Q192" i="11"/>
  <c r="Q191" i="11"/>
  <c r="P192" i="11"/>
  <c r="P193" i="11"/>
  <c r="P194" i="11"/>
  <c r="P195" i="11"/>
  <c r="P196" i="11"/>
  <c r="P197" i="11"/>
  <c r="P198" i="11"/>
  <c r="P199" i="11"/>
  <c r="P200" i="11"/>
  <c r="P201" i="11"/>
  <c r="P202" i="11"/>
  <c r="P191" i="11"/>
  <c r="O192" i="11"/>
  <c r="O193" i="11"/>
  <c r="O194" i="11"/>
  <c r="O195" i="11"/>
  <c r="O196" i="11"/>
  <c r="O197" i="11"/>
  <c r="O198" i="11"/>
  <c r="O199" i="11"/>
  <c r="O200" i="11"/>
  <c r="O201" i="11"/>
  <c r="O202" i="11"/>
  <c r="O203" i="11"/>
  <c r="O191" i="11"/>
  <c r="J203" i="11"/>
  <c r="J202" i="11"/>
  <c r="J201" i="11"/>
  <c r="J200" i="11"/>
  <c r="J199" i="11"/>
  <c r="J198" i="11"/>
  <c r="J197" i="11"/>
  <c r="J196" i="11"/>
  <c r="J195" i="11"/>
  <c r="J194" i="11"/>
  <c r="J193" i="11"/>
  <c r="J192" i="11"/>
  <c r="J191" i="11"/>
  <c r="E202" i="11"/>
  <c r="E203" i="11"/>
  <c r="E201" i="11"/>
  <c r="E200" i="11"/>
  <c r="E199" i="11"/>
  <c r="E198" i="11"/>
  <c r="E197" i="11"/>
  <c r="E196" i="11"/>
  <c r="E195" i="11"/>
  <c r="E194" i="11"/>
  <c r="E193" i="11"/>
  <c r="E192" i="11"/>
  <c r="E191" i="11"/>
  <c r="M191" i="11"/>
  <c r="L191" i="11"/>
  <c r="L86" i="11"/>
  <c r="C86" i="11"/>
  <c r="C138" i="11"/>
  <c r="M138" i="11"/>
  <c r="L138" i="11"/>
  <c r="L139" i="11"/>
  <c r="L140" i="11"/>
  <c r="L141" i="11"/>
  <c r="L142" i="11"/>
  <c r="L143" i="11"/>
  <c r="L144" i="11"/>
  <c r="L145" i="11"/>
  <c r="L146" i="11"/>
  <c r="L147" i="11"/>
  <c r="L148" i="11"/>
  <c r="L149" i="11"/>
  <c r="L150" i="11"/>
  <c r="M192" i="11"/>
  <c r="M193" i="11"/>
  <c r="M194" i="11"/>
  <c r="M195" i="11"/>
  <c r="M196" i="11"/>
  <c r="M197" i="11"/>
  <c r="M198" i="11"/>
  <c r="M199" i="11"/>
  <c r="M200" i="11"/>
  <c r="M201" i="11"/>
  <c r="M202" i="11"/>
  <c r="M203" i="11"/>
  <c r="L192" i="11"/>
  <c r="L193" i="11"/>
  <c r="L194" i="11"/>
  <c r="L195" i="11"/>
  <c r="L196" i="11"/>
  <c r="L197" i="11"/>
  <c r="L198" i="11"/>
  <c r="L199" i="11"/>
  <c r="L200" i="11"/>
  <c r="L201" i="11"/>
  <c r="L202" i="11"/>
  <c r="L203" i="11"/>
  <c r="I192" i="11"/>
  <c r="I193" i="11"/>
  <c r="I194" i="11"/>
  <c r="I195" i="11"/>
  <c r="I196" i="11"/>
  <c r="I197" i="11"/>
  <c r="I198" i="11"/>
  <c r="I199" i="11"/>
  <c r="I200" i="11"/>
  <c r="I201" i="11"/>
  <c r="I202" i="11"/>
  <c r="I203" i="11"/>
  <c r="I191" i="11"/>
  <c r="W160" i="11"/>
  <c r="X160" i="11" s="1"/>
  <c r="W161" i="11"/>
  <c r="X161" i="11" s="1"/>
  <c r="W162" i="11"/>
  <c r="X162" i="11" s="1"/>
  <c r="W163" i="11"/>
  <c r="X163" i="11" s="1"/>
  <c r="W164" i="11"/>
  <c r="X164" i="11" s="1"/>
  <c r="W165" i="11"/>
  <c r="W166" i="11"/>
  <c r="X166" i="11" s="1"/>
  <c r="W167" i="11"/>
  <c r="X167" i="11" s="1"/>
  <c r="W168" i="11"/>
  <c r="X168" i="11" s="1"/>
  <c r="W169" i="11"/>
  <c r="X169" i="11" s="1"/>
  <c r="W170" i="11"/>
  <c r="X170" i="11" s="1"/>
  <c r="W171" i="11"/>
  <c r="X171" i="11" s="1"/>
  <c r="W172" i="11"/>
  <c r="X172" i="11" s="1"/>
  <c r="W159" i="11"/>
  <c r="X159" i="11" s="1"/>
  <c r="U160" i="11"/>
  <c r="V160" i="11" s="1"/>
  <c r="U161" i="11"/>
  <c r="V161" i="11" s="1"/>
  <c r="U162" i="11"/>
  <c r="U163" i="11"/>
  <c r="V163" i="11" s="1"/>
  <c r="U164" i="11"/>
  <c r="V164" i="11" s="1"/>
  <c r="U165" i="11"/>
  <c r="V165" i="11" s="1"/>
  <c r="U166" i="11"/>
  <c r="V166" i="11" s="1"/>
  <c r="U167" i="11"/>
  <c r="V167" i="11" s="1"/>
  <c r="U168" i="11"/>
  <c r="U169" i="11"/>
  <c r="V169" i="11" s="1"/>
  <c r="U170" i="11"/>
  <c r="U171" i="11"/>
  <c r="V171" i="11" s="1"/>
  <c r="U172" i="11"/>
  <c r="V172" i="11" s="1"/>
  <c r="U159" i="11"/>
  <c r="V159" i="11" s="1"/>
  <c r="B192" i="11"/>
  <c r="B193" i="11" s="1"/>
  <c r="B194" i="11" s="1"/>
  <c r="R172" i="11"/>
  <c r="P172" i="11"/>
  <c r="D203" i="11" s="1"/>
  <c r="H172" i="11"/>
  <c r="E172" i="11"/>
  <c r="R171" i="11"/>
  <c r="P171" i="11"/>
  <c r="D202" i="11" s="1"/>
  <c r="H171" i="11"/>
  <c r="E171" i="11"/>
  <c r="V170" i="11"/>
  <c r="C201" i="11" s="1"/>
  <c r="R170" i="11"/>
  <c r="P170" i="11"/>
  <c r="D201" i="11" s="1"/>
  <c r="H170" i="11"/>
  <c r="E170" i="11"/>
  <c r="R169" i="11"/>
  <c r="P169" i="11"/>
  <c r="D200" i="11" s="1"/>
  <c r="H169" i="11"/>
  <c r="E169" i="11"/>
  <c r="V168" i="11"/>
  <c r="R168" i="11"/>
  <c r="P168" i="11"/>
  <c r="D199" i="11" s="1"/>
  <c r="H168" i="11"/>
  <c r="E168" i="11"/>
  <c r="R167" i="11"/>
  <c r="P167" i="11"/>
  <c r="D198" i="11" s="1"/>
  <c r="H167" i="11"/>
  <c r="E167" i="11"/>
  <c r="R166" i="11"/>
  <c r="C197" i="11" s="1"/>
  <c r="P166" i="11"/>
  <c r="D197" i="11" s="1"/>
  <c r="H166" i="11"/>
  <c r="E166" i="11"/>
  <c r="X165" i="11"/>
  <c r="R165" i="11"/>
  <c r="P165" i="11"/>
  <c r="D196" i="11" s="1"/>
  <c r="H165" i="11"/>
  <c r="E165" i="11"/>
  <c r="R164" i="11"/>
  <c r="P164" i="11"/>
  <c r="D195" i="11" s="1"/>
  <c r="H164" i="11"/>
  <c r="E164" i="11"/>
  <c r="R163" i="11"/>
  <c r="P163" i="11"/>
  <c r="D194" i="11" s="1"/>
  <c r="H163" i="11"/>
  <c r="E163" i="11"/>
  <c r="V162" i="11"/>
  <c r="R162" i="11"/>
  <c r="P162" i="11"/>
  <c r="H162" i="11"/>
  <c r="E162" i="11"/>
  <c r="R161" i="11"/>
  <c r="P161" i="11"/>
  <c r="D192" i="11" s="1"/>
  <c r="H161" i="11"/>
  <c r="E161" i="11"/>
  <c r="A161" i="11"/>
  <c r="A162" i="11" s="1"/>
  <c r="A163" i="11" s="1"/>
  <c r="A164" i="11" s="1"/>
  <c r="A165" i="11" s="1"/>
  <c r="A166" i="11" s="1"/>
  <c r="A167" i="11" s="1"/>
  <c r="A168" i="11" s="1"/>
  <c r="A169" i="11" s="1"/>
  <c r="A170" i="11" s="1"/>
  <c r="A171" i="11" s="1"/>
  <c r="A172" i="11" s="1"/>
  <c r="R160" i="11"/>
  <c r="P160" i="11"/>
  <c r="D191" i="11" s="1"/>
  <c r="H160" i="11"/>
  <c r="E160" i="11"/>
  <c r="R159" i="11"/>
  <c r="P159" i="11"/>
  <c r="H159" i="11"/>
  <c r="E159" i="11"/>
  <c r="W108" i="11"/>
  <c r="X108" i="11" s="1"/>
  <c r="W109" i="11"/>
  <c r="X109" i="11" s="1"/>
  <c r="W110" i="11"/>
  <c r="X110" i="11" s="1"/>
  <c r="W111" i="11"/>
  <c r="X111" i="11" s="1"/>
  <c r="W112" i="11"/>
  <c r="X112" i="11" s="1"/>
  <c r="W113" i="11"/>
  <c r="X113" i="11" s="1"/>
  <c r="W114" i="11"/>
  <c r="X114" i="11" s="1"/>
  <c r="W115" i="11"/>
  <c r="X115" i="11" s="1"/>
  <c r="W116" i="11"/>
  <c r="X116" i="11" s="1"/>
  <c r="W117" i="11"/>
  <c r="X117" i="11" s="1"/>
  <c r="W118" i="11"/>
  <c r="X118" i="11" s="1"/>
  <c r="W119" i="11"/>
  <c r="X119" i="11" s="1"/>
  <c r="W120" i="11"/>
  <c r="U108" i="11"/>
  <c r="V108" i="11" s="1"/>
  <c r="U109" i="11"/>
  <c r="V109" i="11" s="1"/>
  <c r="U110" i="11"/>
  <c r="U111" i="11"/>
  <c r="V111" i="11" s="1"/>
  <c r="U112" i="11"/>
  <c r="V112" i="11" s="1"/>
  <c r="U113" i="11"/>
  <c r="V113" i="11" s="1"/>
  <c r="U114" i="11"/>
  <c r="V114" i="11" s="1"/>
  <c r="U115" i="11"/>
  <c r="V115" i="11" s="1"/>
  <c r="U116" i="11"/>
  <c r="V116" i="11" s="1"/>
  <c r="U117" i="11"/>
  <c r="V117" i="11" s="1"/>
  <c r="U118" i="11"/>
  <c r="V118" i="11" s="1"/>
  <c r="U119" i="11"/>
  <c r="V119" i="11" s="1"/>
  <c r="U120" i="11"/>
  <c r="V120" i="11" s="1"/>
  <c r="W107" i="11"/>
  <c r="X107" i="11" s="1"/>
  <c r="U107" i="11"/>
  <c r="V107" i="11" s="1"/>
  <c r="X120" i="11"/>
  <c r="R120" i="11"/>
  <c r="P120" i="11"/>
  <c r="D150" i="11" s="1"/>
  <c r="H120" i="11"/>
  <c r="M150" i="11" s="1"/>
  <c r="E120" i="11"/>
  <c r="I150" i="11" s="1"/>
  <c r="R119" i="11"/>
  <c r="P119" i="11"/>
  <c r="D149" i="11" s="1"/>
  <c r="H119" i="11"/>
  <c r="M149" i="11" s="1"/>
  <c r="E119" i="11"/>
  <c r="I149" i="11" s="1"/>
  <c r="R118" i="11"/>
  <c r="P118" i="11"/>
  <c r="D148" i="11" s="1"/>
  <c r="H118" i="11"/>
  <c r="M148" i="11" s="1"/>
  <c r="E118" i="11"/>
  <c r="I148" i="11" s="1"/>
  <c r="R117" i="11"/>
  <c r="P117" i="11"/>
  <c r="D147" i="11" s="1"/>
  <c r="H117" i="11"/>
  <c r="M147" i="11" s="1"/>
  <c r="E117" i="11"/>
  <c r="I147" i="11" s="1"/>
  <c r="R116" i="11"/>
  <c r="P116" i="11"/>
  <c r="D146" i="11" s="1"/>
  <c r="H116" i="11"/>
  <c r="M146" i="11" s="1"/>
  <c r="E116" i="11"/>
  <c r="I146" i="11" s="1"/>
  <c r="R115" i="11"/>
  <c r="P115" i="11"/>
  <c r="H115" i="11"/>
  <c r="M145" i="11" s="1"/>
  <c r="E115" i="11"/>
  <c r="I145" i="11" s="1"/>
  <c r="R114" i="11"/>
  <c r="P114" i="11"/>
  <c r="D144" i="11" s="1"/>
  <c r="H114" i="11"/>
  <c r="M144" i="11" s="1"/>
  <c r="E114" i="11"/>
  <c r="I144" i="11" s="1"/>
  <c r="R113" i="11"/>
  <c r="P113" i="11"/>
  <c r="D143" i="11" s="1"/>
  <c r="H113" i="11"/>
  <c r="M143" i="11" s="1"/>
  <c r="E113" i="11"/>
  <c r="I143" i="11" s="1"/>
  <c r="R112" i="11"/>
  <c r="P112" i="11"/>
  <c r="D142" i="11" s="1"/>
  <c r="H112" i="11"/>
  <c r="M142" i="11" s="1"/>
  <c r="E112" i="11"/>
  <c r="I142" i="11" s="1"/>
  <c r="R111" i="11"/>
  <c r="P111" i="11"/>
  <c r="B124" i="11" s="1"/>
  <c r="H111" i="11"/>
  <c r="M141" i="11" s="1"/>
  <c r="E111" i="11"/>
  <c r="I141" i="11" s="1"/>
  <c r="V110" i="11"/>
  <c r="R110" i="11"/>
  <c r="P110" i="11"/>
  <c r="D140" i="11" s="1"/>
  <c r="H110" i="11"/>
  <c r="M140" i="11" s="1"/>
  <c r="E110" i="11"/>
  <c r="I140" i="11" s="1"/>
  <c r="R109" i="11"/>
  <c r="P109" i="11"/>
  <c r="D139" i="11" s="1"/>
  <c r="H109" i="11"/>
  <c r="M139" i="11" s="1"/>
  <c r="E109" i="11"/>
  <c r="I139" i="11" s="1"/>
  <c r="R108" i="11"/>
  <c r="P108" i="11"/>
  <c r="D138" i="11" s="1"/>
  <c r="H108" i="11"/>
  <c r="E108" i="11"/>
  <c r="I138" i="11" s="1"/>
  <c r="R107" i="11"/>
  <c r="P107" i="11"/>
  <c r="H107" i="11"/>
  <c r="E107" i="11"/>
  <c r="W56" i="11"/>
  <c r="X56" i="11" s="1"/>
  <c r="W57" i="11"/>
  <c r="X57" i="11" s="1"/>
  <c r="L87" i="11" s="1"/>
  <c r="W58" i="11"/>
  <c r="X58" i="11" s="1"/>
  <c r="L88" i="11" s="1"/>
  <c r="W59" i="11"/>
  <c r="X59" i="11" s="1"/>
  <c r="L89" i="11" s="1"/>
  <c r="W60" i="11"/>
  <c r="X60" i="11" s="1"/>
  <c r="L90" i="11" s="1"/>
  <c r="W61" i="11"/>
  <c r="X61" i="11" s="1"/>
  <c r="L91" i="11" s="1"/>
  <c r="W62" i="11"/>
  <c r="X62" i="11" s="1"/>
  <c r="L92" i="11" s="1"/>
  <c r="W63" i="11"/>
  <c r="X63" i="11" s="1"/>
  <c r="L93" i="11" s="1"/>
  <c r="W64" i="11"/>
  <c r="W65" i="11"/>
  <c r="X65" i="11" s="1"/>
  <c r="L95" i="11" s="1"/>
  <c r="W66" i="11"/>
  <c r="W67" i="11"/>
  <c r="X67" i="11" s="1"/>
  <c r="L97" i="11" s="1"/>
  <c r="W55" i="11"/>
  <c r="X55" i="11" s="1"/>
  <c r="U56" i="11"/>
  <c r="V56" i="11" s="1"/>
  <c r="U57" i="11"/>
  <c r="V57" i="11" s="1"/>
  <c r="C87" i="11" s="1"/>
  <c r="U58" i="11"/>
  <c r="V58" i="11" s="1"/>
  <c r="C88" i="11" s="1"/>
  <c r="U59" i="11"/>
  <c r="V59" i="11" s="1"/>
  <c r="C89" i="11" s="1"/>
  <c r="U60" i="11"/>
  <c r="V60" i="11" s="1"/>
  <c r="C90" i="11" s="1"/>
  <c r="U61" i="11"/>
  <c r="V61" i="11" s="1"/>
  <c r="C91" i="11" s="1"/>
  <c r="U62" i="11"/>
  <c r="V62" i="11" s="1"/>
  <c r="C92" i="11" s="1"/>
  <c r="U63" i="11"/>
  <c r="V63" i="11" s="1"/>
  <c r="C93" i="11" s="1"/>
  <c r="U64" i="11"/>
  <c r="V64" i="11" s="1"/>
  <c r="C94" i="11" s="1"/>
  <c r="U65" i="11"/>
  <c r="V65" i="11" s="1"/>
  <c r="C95" i="11" s="1"/>
  <c r="U66" i="11"/>
  <c r="U67" i="11"/>
  <c r="V67" i="11" s="1"/>
  <c r="C97" i="11" s="1"/>
  <c r="U55" i="11"/>
  <c r="V55" i="11" s="1"/>
  <c r="P67" i="11"/>
  <c r="D97" i="11" s="1"/>
  <c r="H67" i="11"/>
  <c r="M97" i="11" s="1"/>
  <c r="E67" i="11"/>
  <c r="I97" i="11" s="1"/>
  <c r="A67" i="11"/>
  <c r="X66" i="11"/>
  <c r="L96" i="11" s="1"/>
  <c r="V66" i="11"/>
  <c r="C96" i="11" s="1"/>
  <c r="P66" i="11"/>
  <c r="D96" i="11" s="1"/>
  <c r="H66" i="11"/>
  <c r="M96" i="11" s="1"/>
  <c r="E66" i="11"/>
  <c r="I96" i="11" s="1"/>
  <c r="A66" i="11"/>
  <c r="P65" i="11"/>
  <c r="D95" i="11" s="1"/>
  <c r="H65" i="11"/>
  <c r="M95" i="11" s="1"/>
  <c r="E65" i="11"/>
  <c r="I95" i="11" s="1"/>
  <c r="A65" i="11"/>
  <c r="X64" i="11"/>
  <c r="L94" i="11" s="1"/>
  <c r="P64" i="11"/>
  <c r="H64" i="11"/>
  <c r="M94" i="11" s="1"/>
  <c r="E64" i="11"/>
  <c r="A64" i="11"/>
  <c r="P63" i="11"/>
  <c r="D93" i="11" s="1"/>
  <c r="H63" i="11"/>
  <c r="M93" i="11" s="1"/>
  <c r="E63" i="11"/>
  <c r="I93" i="11" s="1"/>
  <c r="A63" i="11"/>
  <c r="P62" i="11"/>
  <c r="D92" i="11" s="1"/>
  <c r="H62" i="11"/>
  <c r="M92" i="11" s="1"/>
  <c r="E62" i="11"/>
  <c r="I92" i="11" s="1"/>
  <c r="A62" i="11"/>
  <c r="P61" i="11"/>
  <c r="H61" i="11"/>
  <c r="M91" i="11" s="1"/>
  <c r="E61" i="11"/>
  <c r="A61" i="11"/>
  <c r="P60" i="11"/>
  <c r="D90" i="11" s="1"/>
  <c r="H60" i="11"/>
  <c r="M90" i="11" s="1"/>
  <c r="E60" i="11"/>
  <c r="I90" i="11" s="1"/>
  <c r="A60" i="11"/>
  <c r="P59" i="11"/>
  <c r="D89" i="11" s="1"/>
  <c r="H59" i="11"/>
  <c r="M89" i="11" s="1"/>
  <c r="E59" i="11"/>
  <c r="I89" i="11" s="1"/>
  <c r="A59" i="11"/>
  <c r="P58" i="11"/>
  <c r="D88" i="11" s="1"/>
  <c r="H58" i="11"/>
  <c r="M88" i="11" s="1"/>
  <c r="E58" i="11"/>
  <c r="I88" i="11" s="1"/>
  <c r="A58" i="11"/>
  <c r="P57" i="11"/>
  <c r="D87" i="11" s="1"/>
  <c r="H57" i="11"/>
  <c r="M87" i="11" s="1"/>
  <c r="E57" i="11"/>
  <c r="I87" i="11" s="1"/>
  <c r="A57" i="11"/>
  <c r="P56" i="11"/>
  <c r="D86" i="11" s="1"/>
  <c r="H56" i="11"/>
  <c r="M86" i="11" s="1"/>
  <c r="E56" i="11"/>
  <c r="I86" i="11" s="1"/>
  <c r="A56" i="11"/>
  <c r="P55" i="11"/>
  <c r="H55" i="11"/>
  <c r="E55" i="11"/>
  <c r="W15" i="11"/>
  <c r="X15" i="11" s="1"/>
  <c r="L45" i="11" s="1"/>
  <c r="U15" i="11"/>
  <c r="V15" i="11" s="1"/>
  <c r="C45" i="11" s="1"/>
  <c r="P15" i="11"/>
  <c r="D45" i="11" s="1"/>
  <c r="H15" i="11"/>
  <c r="M45" i="11" s="1"/>
  <c r="E15" i="11"/>
  <c r="I45" i="11" s="1"/>
  <c r="W14" i="11"/>
  <c r="X14" i="11" s="1"/>
  <c r="L44" i="11" s="1"/>
  <c r="U14" i="11"/>
  <c r="V14" i="11" s="1"/>
  <c r="C44" i="11" s="1"/>
  <c r="P14" i="11"/>
  <c r="D44" i="11" s="1"/>
  <c r="H14" i="11"/>
  <c r="M44" i="11" s="1"/>
  <c r="E14" i="11"/>
  <c r="I44" i="11" s="1"/>
  <c r="W13" i="11"/>
  <c r="X13" i="11" s="1"/>
  <c r="L43" i="11" s="1"/>
  <c r="U13" i="11"/>
  <c r="V13" i="11" s="1"/>
  <c r="C43" i="11" s="1"/>
  <c r="P13" i="11"/>
  <c r="D43" i="11" s="1"/>
  <c r="H13" i="11"/>
  <c r="M43" i="11" s="1"/>
  <c r="E13" i="11"/>
  <c r="I43" i="11" s="1"/>
  <c r="W12" i="11"/>
  <c r="X12" i="11" s="1"/>
  <c r="L42" i="11" s="1"/>
  <c r="U12" i="11"/>
  <c r="V12" i="11" s="1"/>
  <c r="C42" i="11" s="1"/>
  <c r="P12" i="11"/>
  <c r="D42" i="11" s="1"/>
  <c r="H12" i="11"/>
  <c r="M42" i="11" s="1"/>
  <c r="E12" i="11"/>
  <c r="I42" i="11" s="1"/>
  <c r="W11" i="11"/>
  <c r="X11" i="11" s="1"/>
  <c r="L41" i="11" s="1"/>
  <c r="U11" i="11"/>
  <c r="V11" i="11" s="1"/>
  <c r="C41" i="11" s="1"/>
  <c r="P11" i="11"/>
  <c r="D41" i="11" s="1"/>
  <c r="H11" i="11"/>
  <c r="M41" i="11" s="1"/>
  <c r="E11" i="11"/>
  <c r="I41" i="11" s="1"/>
  <c r="W10" i="11"/>
  <c r="X10" i="11" s="1"/>
  <c r="L40" i="11" s="1"/>
  <c r="U10" i="11"/>
  <c r="V10" i="11" s="1"/>
  <c r="C40" i="11" s="1"/>
  <c r="P10" i="11"/>
  <c r="D40" i="11" s="1"/>
  <c r="H10" i="11"/>
  <c r="M40" i="11" s="1"/>
  <c r="E10" i="11"/>
  <c r="I40" i="11" s="1"/>
  <c r="W9" i="11"/>
  <c r="X9" i="11" s="1"/>
  <c r="L39" i="11" s="1"/>
  <c r="U9" i="11"/>
  <c r="V9" i="11" s="1"/>
  <c r="C39" i="11" s="1"/>
  <c r="P9" i="11"/>
  <c r="D39" i="11" s="1"/>
  <c r="H9" i="11"/>
  <c r="M39" i="11" s="1"/>
  <c r="E9" i="11"/>
  <c r="I39" i="11" s="1"/>
  <c r="W8" i="11"/>
  <c r="X8" i="11" s="1"/>
  <c r="L38" i="11" s="1"/>
  <c r="U8" i="11"/>
  <c r="V8" i="11" s="1"/>
  <c r="C38" i="11" s="1"/>
  <c r="P8" i="11"/>
  <c r="D38" i="11" s="1"/>
  <c r="H8" i="11"/>
  <c r="M38" i="11" s="1"/>
  <c r="E8" i="11"/>
  <c r="I38" i="11" s="1"/>
  <c r="W7" i="11"/>
  <c r="X7" i="11" s="1"/>
  <c r="L37" i="11" s="1"/>
  <c r="U7" i="11"/>
  <c r="V7" i="11" s="1"/>
  <c r="C37" i="11" s="1"/>
  <c r="P7" i="11"/>
  <c r="D37" i="11" s="1"/>
  <c r="H7" i="11"/>
  <c r="M37" i="11" s="1"/>
  <c r="E7" i="11"/>
  <c r="I37" i="11" s="1"/>
  <c r="W6" i="11"/>
  <c r="X6" i="11" s="1"/>
  <c r="L36" i="11" s="1"/>
  <c r="U6" i="11"/>
  <c r="V6" i="11" s="1"/>
  <c r="C36" i="11" s="1"/>
  <c r="P6" i="11"/>
  <c r="D36" i="11" s="1"/>
  <c r="N201" i="11" s="1"/>
  <c r="H6" i="11"/>
  <c r="M36" i="11" s="1"/>
  <c r="E6" i="11"/>
  <c r="I36" i="11" s="1"/>
  <c r="W5" i="11"/>
  <c r="X5" i="11" s="1"/>
  <c r="L35" i="11" s="1"/>
  <c r="U5" i="11"/>
  <c r="V5" i="11" s="1"/>
  <c r="C35" i="11" s="1"/>
  <c r="P5" i="11"/>
  <c r="D35" i="11" s="1"/>
  <c r="H5" i="11"/>
  <c r="M35" i="11" s="1"/>
  <c r="E5" i="11"/>
  <c r="I35" i="11" s="1"/>
  <c r="W4" i="11"/>
  <c r="X4" i="11" s="1"/>
  <c r="L34" i="11" s="1"/>
  <c r="U4" i="11"/>
  <c r="V4" i="11" s="1"/>
  <c r="C34" i="11" s="1"/>
  <c r="P4" i="11"/>
  <c r="D34" i="11" s="1"/>
  <c r="H4" i="11"/>
  <c r="M34" i="11" s="1"/>
  <c r="E4" i="11"/>
  <c r="I34" i="11" s="1"/>
  <c r="W3" i="11"/>
  <c r="X3" i="11" s="1"/>
  <c r="L33" i="11" s="1"/>
  <c r="U3" i="11"/>
  <c r="V3" i="11" s="1"/>
  <c r="C33" i="11" s="1"/>
  <c r="P3" i="11"/>
  <c r="D33" i="11" s="1"/>
  <c r="H3" i="11"/>
  <c r="M33" i="11" s="1"/>
  <c r="E3" i="11"/>
  <c r="B165" i="16"/>
  <c r="B166" i="16" s="1"/>
  <c r="E56" i="18" l="1"/>
  <c r="C192" i="11"/>
  <c r="D18" i="11"/>
  <c r="C203" i="11"/>
  <c r="C195" i="11"/>
  <c r="C191" i="11"/>
  <c r="D178" i="11"/>
  <c r="C200" i="11"/>
  <c r="C196" i="11"/>
  <c r="D176" i="11"/>
  <c r="N199" i="11" s="1"/>
  <c r="B125" i="11"/>
  <c r="D175" i="11"/>
  <c r="C176" i="11"/>
  <c r="C177" i="11"/>
  <c r="C178" i="11"/>
  <c r="N198" i="11"/>
  <c r="C202" i="11"/>
  <c r="C198" i="11"/>
  <c r="C194" i="11"/>
  <c r="C193" i="11"/>
  <c r="C199" i="11"/>
  <c r="C175" i="11"/>
  <c r="B176" i="11"/>
  <c r="D123" i="11"/>
  <c r="C19" i="11"/>
  <c r="C70" i="11"/>
  <c r="D177" i="11"/>
  <c r="C20" i="11"/>
  <c r="C123" i="11"/>
  <c r="D124" i="11"/>
  <c r="B175" i="11"/>
  <c r="B177" i="11"/>
  <c r="C21" i="11"/>
  <c r="C124" i="11"/>
  <c r="D125" i="11"/>
  <c r="N203" i="11"/>
  <c r="D193" i="11"/>
  <c r="B178" i="11"/>
  <c r="B123" i="11"/>
  <c r="C18" i="11"/>
  <c r="C125" i="11"/>
  <c r="N200" i="11"/>
  <c r="N202" i="11"/>
  <c r="B195" i="11"/>
  <c r="C139" i="11"/>
  <c r="C142" i="11"/>
  <c r="C146" i="11"/>
  <c r="C150" i="11"/>
  <c r="C149" i="11"/>
  <c r="C145" i="11"/>
  <c r="C141" i="11"/>
  <c r="C140" i="11"/>
  <c r="C144" i="11"/>
  <c r="C148" i="11"/>
  <c r="C147" i="11"/>
  <c r="C143" i="11"/>
  <c r="D145" i="11"/>
  <c r="D141" i="11"/>
  <c r="D72" i="11"/>
  <c r="J93" i="11" s="1"/>
  <c r="N93" i="11" s="1"/>
  <c r="O93" i="11" s="1"/>
  <c r="P93" i="11" s="1"/>
  <c r="B73" i="11"/>
  <c r="E95" i="11" s="1"/>
  <c r="B72" i="11"/>
  <c r="E93" i="11" s="1"/>
  <c r="F93" i="11" s="1"/>
  <c r="I91" i="11"/>
  <c r="D70" i="11"/>
  <c r="J97" i="11" s="1"/>
  <c r="N97" i="11" s="1"/>
  <c r="O97" i="11" s="1"/>
  <c r="D73" i="11"/>
  <c r="J96" i="11" s="1"/>
  <c r="N96" i="11" s="1"/>
  <c r="O96" i="11" s="1"/>
  <c r="P96" i="11" s="1"/>
  <c r="D91" i="11"/>
  <c r="B70" i="11"/>
  <c r="B71" i="11"/>
  <c r="E89" i="11" s="1"/>
  <c r="F89" i="11" s="1"/>
  <c r="C71" i="11"/>
  <c r="D71" i="11"/>
  <c r="D94" i="11"/>
  <c r="I94" i="11"/>
  <c r="C72" i="11"/>
  <c r="C73" i="11"/>
  <c r="I33" i="11"/>
  <c r="J33" i="11" s="1"/>
  <c r="N33" i="11" s="1"/>
  <c r="Q33" i="11" s="1"/>
  <c r="B19" i="11"/>
  <c r="B21" i="11"/>
  <c r="B18" i="11"/>
  <c r="E33" i="11" s="1"/>
  <c r="B20" i="11"/>
  <c r="D21" i="11"/>
  <c r="D19" i="11"/>
  <c r="D20" i="11"/>
  <c r="B167" i="16"/>
  <c r="E57" i="18" l="1"/>
  <c r="U201" i="11"/>
  <c r="U198" i="11"/>
  <c r="U202" i="11"/>
  <c r="U203" i="11"/>
  <c r="U199" i="11"/>
  <c r="U200" i="11"/>
  <c r="E97" i="11"/>
  <c r="F97" i="11" s="1"/>
  <c r="E86" i="11"/>
  <c r="Q97" i="11"/>
  <c r="R97" i="11" s="1"/>
  <c r="Q96" i="11"/>
  <c r="R96" i="11" s="1"/>
  <c r="S96" i="11" s="1"/>
  <c r="B196" i="11"/>
  <c r="J150" i="11"/>
  <c r="N150" i="11" s="1"/>
  <c r="J138" i="11"/>
  <c r="N138" i="11" s="1"/>
  <c r="Q138" i="11" s="1"/>
  <c r="J139" i="11"/>
  <c r="N139" i="11" s="1"/>
  <c r="J140" i="11"/>
  <c r="N140" i="11" s="1"/>
  <c r="J142" i="11"/>
  <c r="N142" i="11" s="1"/>
  <c r="J141" i="11"/>
  <c r="N141" i="11" s="1"/>
  <c r="J143" i="11"/>
  <c r="N143" i="11" s="1"/>
  <c r="J144" i="11"/>
  <c r="N144" i="11" s="1"/>
  <c r="E140" i="11"/>
  <c r="F140" i="11" s="1"/>
  <c r="E139" i="11"/>
  <c r="F139" i="11" s="1"/>
  <c r="E150" i="11"/>
  <c r="F150" i="11" s="1"/>
  <c r="N197" i="11" s="1"/>
  <c r="E138" i="11"/>
  <c r="F138" i="11" s="1"/>
  <c r="E144" i="11"/>
  <c r="F144" i="11" s="1"/>
  <c r="N191" i="11" s="1"/>
  <c r="E143" i="11"/>
  <c r="F143" i="11" s="1"/>
  <c r="E141" i="11"/>
  <c r="F141" i="11" s="1"/>
  <c r="E142" i="11"/>
  <c r="F142" i="11" s="1"/>
  <c r="E148" i="11"/>
  <c r="F148" i="11" s="1"/>
  <c r="N195" i="11" s="1"/>
  <c r="E147" i="11"/>
  <c r="F147" i="11" s="1"/>
  <c r="E149" i="11"/>
  <c r="F149" i="11" s="1"/>
  <c r="N196" i="11" s="1"/>
  <c r="E146" i="11"/>
  <c r="F146" i="11" s="1"/>
  <c r="E145" i="11"/>
  <c r="F145" i="11" s="1"/>
  <c r="J146" i="11"/>
  <c r="N146" i="11" s="1"/>
  <c r="J149" i="11"/>
  <c r="N149" i="11" s="1"/>
  <c r="J145" i="11"/>
  <c r="N145" i="11" s="1"/>
  <c r="J148" i="11"/>
  <c r="N148" i="11" s="1"/>
  <c r="J147" i="11"/>
  <c r="N147" i="11" s="1"/>
  <c r="E96" i="11"/>
  <c r="F96" i="11" s="1"/>
  <c r="G93" i="11"/>
  <c r="G89" i="11"/>
  <c r="O33" i="11"/>
  <c r="E94" i="11"/>
  <c r="F94" i="11" s="1"/>
  <c r="J87" i="11"/>
  <c r="N87" i="11" s="1"/>
  <c r="O87" i="11" s="1"/>
  <c r="P87" i="11" s="1"/>
  <c r="J88" i="11"/>
  <c r="N88" i="11" s="1"/>
  <c r="O88" i="11" s="1"/>
  <c r="P88" i="11" s="1"/>
  <c r="J92" i="11"/>
  <c r="N92" i="11" s="1"/>
  <c r="O92" i="11" s="1"/>
  <c r="P92" i="11" s="1"/>
  <c r="E88" i="11"/>
  <c r="F88" i="11" s="1"/>
  <c r="E91" i="11"/>
  <c r="F91" i="11" s="1"/>
  <c r="J95" i="11"/>
  <c r="N95" i="11" s="1"/>
  <c r="F95" i="11"/>
  <c r="J94" i="11"/>
  <c r="N94" i="11" s="1"/>
  <c r="E92" i="11"/>
  <c r="J86" i="11"/>
  <c r="N86" i="11" s="1"/>
  <c r="Q86" i="11" s="1"/>
  <c r="Q93" i="11"/>
  <c r="R93" i="11" s="1"/>
  <c r="S93" i="11" s="1"/>
  <c r="E87" i="11"/>
  <c r="F87" i="11" s="1"/>
  <c r="J91" i="11"/>
  <c r="J89" i="11"/>
  <c r="J90" i="11"/>
  <c r="E90" i="11"/>
  <c r="F90" i="11" s="1"/>
  <c r="F33" i="11"/>
  <c r="E34" i="11"/>
  <c r="F34" i="11" s="1"/>
  <c r="E36" i="11"/>
  <c r="F36" i="11" s="1"/>
  <c r="E35" i="11"/>
  <c r="F35" i="11" s="1"/>
  <c r="J41" i="11"/>
  <c r="N41" i="11" s="1"/>
  <c r="O41" i="11" s="1"/>
  <c r="P41" i="11" s="1"/>
  <c r="J42" i="11"/>
  <c r="N42" i="11" s="1"/>
  <c r="O42" i="11" s="1"/>
  <c r="P42" i="11" s="1"/>
  <c r="J40" i="11"/>
  <c r="N40" i="11" s="1"/>
  <c r="O40" i="11" s="1"/>
  <c r="P40" i="11" s="1"/>
  <c r="E37" i="11"/>
  <c r="F37" i="11" s="1"/>
  <c r="E39" i="11"/>
  <c r="F39" i="11" s="1"/>
  <c r="E38" i="11"/>
  <c r="F38" i="11" s="1"/>
  <c r="J37" i="11"/>
  <c r="N37" i="11" s="1"/>
  <c r="O37" i="11" s="1"/>
  <c r="P37" i="11" s="1"/>
  <c r="J39" i="11"/>
  <c r="N39" i="11" s="1"/>
  <c r="O39" i="11" s="1"/>
  <c r="P39" i="11" s="1"/>
  <c r="J38" i="11"/>
  <c r="N38" i="11" s="1"/>
  <c r="O38" i="11" s="1"/>
  <c r="P38" i="11" s="1"/>
  <c r="J45" i="11"/>
  <c r="N45" i="11" s="1"/>
  <c r="O45" i="11" s="1"/>
  <c r="J44" i="11"/>
  <c r="N44" i="11" s="1"/>
  <c r="O44" i="11" s="1"/>
  <c r="P44" i="11" s="1"/>
  <c r="J43" i="11"/>
  <c r="N43" i="11" s="1"/>
  <c r="O43" i="11" s="1"/>
  <c r="P43" i="11" s="1"/>
  <c r="J36" i="11"/>
  <c r="N36" i="11" s="1"/>
  <c r="J35" i="11"/>
  <c r="N35" i="11" s="1"/>
  <c r="J34" i="11"/>
  <c r="N34" i="11" s="1"/>
  <c r="E41" i="11"/>
  <c r="F41" i="11" s="1"/>
  <c r="E42" i="11"/>
  <c r="F42" i="11" s="1"/>
  <c r="E40" i="11"/>
  <c r="F40" i="11" s="1"/>
  <c r="E45" i="11"/>
  <c r="F45" i="11" s="1"/>
  <c r="E43" i="11"/>
  <c r="F43" i="11" s="1"/>
  <c r="E44" i="11"/>
  <c r="F44" i="11" s="1"/>
  <c r="B168" i="16"/>
  <c r="E58" i="18" l="1"/>
  <c r="E59" i="18" s="1"/>
  <c r="E60" i="18" s="1"/>
  <c r="Q37" i="11"/>
  <c r="R37" i="11" s="1"/>
  <c r="S37" i="11" s="1"/>
  <c r="Q42" i="11"/>
  <c r="R42" i="11" s="1"/>
  <c r="S42" i="11" s="1"/>
  <c r="U196" i="11"/>
  <c r="U197" i="11"/>
  <c r="Q43" i="11"/>
  <c r="R43" i="11" s="1"/>
  <c r="S43" i="11" s="1"/>
  <c r="Q39" i="11"/>
  <c r="R39" i="11" s="1"/>
  <c r="S39" i="11" s="1"/>
  <c r="N193" i="11"/>
  <c r="U193" i="11" s="1"/>
  <c r="N194" i="11"/>
  <c r="Q45" i="11"/>
  <c r="R45" i="11" s="1"/>
  <c r="U45" i="11" s="1"/>
  <c r="Q40" i="11"/>
  <c r="R40" i="11" s="1"/>
  <c r="S40" i="11" s="1"/>
  <c r="N192" i="11"/>
  <c r="Q38" i="11"/>
  <c r="R38" i="11" s="1"/>
  <c r="S38" i="11" s="1"/>
  <c r="Q44" i="11"/>
  <c r="R44" i="11" s="1"/>
  <c r="S44" i="11" s="1"/>
  <c r="Q41" i="11"/>
  <c r="R41" i="11" s="1"/>
  <c r="S41" i="11" s="1"/>
  <c r="B197" i="11"/>
  <c r="O145" i="11"/>
  <c r="P145" i="11" s="1"/>
  <c r="Q145" i="11"/>
  <c r="R145" i="11" s="1"/>
  <c r="S145" i="11" s="1"/>
  <c r="O149" i="11"/>
  <c r="P149" i="11" s="1"/>
  <c r="Q149" i="11"/>
  <c r="R149" i="11" s="1"/>
  <c r="S149" i="11" s="1"/>
  <c r="O147" i="11"/>
  <c r="P147" i="11" s="1"/>
  <c r="Q147" i="11"/>
  <c r="R147" i="11" s="1"/>
  <c r="S147" i="11" s="1"/>
  <c r="O146" i="11"/>
  <c r="P146" i="11" s="1"/>
  <c r="Q146" i="11"/>
  <c r="R146" i="11" s="1"/>
  <c r="S146" i="11" s="1"/>
  <c r="O148" i="11"/>
  <c r="P148" i="11" s="1"/>
  <c r="Q148" i="11"/>
  <c r="R148" i="11" s="1"/>
  <c r="S148" i="11" s="1"/>
  <c r="Q141" i="11"/>
  <c r="R141" i="11" s="1"/>
  <c r="S141" i="11" s="1"/>
  <c r="O141" i="11"/>
  <c r="P141" i="11" s="1"/>
  <c r="Q144" i="11"/>
  <c r="R144" i="11" s="1"/>
  <c r="S144" i="11" s="1"/>
  <c r="O144" i="11"/>
  <c r="P144" i="11" s="1"/>
  <c r="O143" i="11"/>
  <c r="P143" i="11" s="1"/>
  <c r="Q143" i="11"/>
  <c r="R143" i="11" s="1"/>
  <c r="S143" i="11" s="1"/>
  <c r="Q142" i="11"/>
  <c r="R142" i="11" s="1"/>
  <c r="S142" i="11" s="1"/>
  <c r="O142" i="11"/>
  <c r="P142" i="11" s="1"/>
  <c r="O34" i="11"/>
  <c r="P34" i="11" s="1"/>
  <c r="Q34" i="11"/>
  <c r="R34" i="11" s="1"/>
  <c r="S34" i="11" s="1"/>
  <c r="O35" i="11"/>
  <c r="P35" i="11" s="1"/>
  <c r="Q35" i="11"/>
  <c r="R35" i="11" s="1"/>
  <c r="S35" i="11" s="1"/>
  <c r="Q36" i="11"/>
  <c r="R36" i="11" s="1"/>
  <c r="S36" i="11" s="1"/>
  <c r="O36" i="11"/>
  <c r="P36" i="11" s="1"/>
  <c r="R33" i="11"/>
  <c r="S33" i="11" s="1"/>
  <c r="P33" i="11"/>
  <c r="Q140" i="11"/>
  <c r="R140" i="11" s="1"/>
  <c r="S140" i="11" s="1"/>
  <c r="O140" i="11"/>
  <c r="P140" i="11" s="1"/>
  <c r="Q139" i="11"/>
  <c r="R139" i="11" s="1"/>
  <c r="S139" i="11" s="1"/>
  <c r="O139" i="11"/>
  <c r="P139" i="11" s="1"/>
  <c r="O138" i="11"/>
  <c r="P138" i="11" s="1"/>
  <c r="R138" i="11"/>
  <c r="S138" i="11" s="1"/>
  <c r="Q150" i="11"/>
  <c r="R150" i="11" s="1"/>
  <c r="U150" i="11" s="1"/>
  <c r="O150" i="11"/>
  <c r="G149" i="11"/>
  <c r="U149" i="11"/>
  <c r="G147" i="11"/>
  <c r="U147" i="11"/>
  <c r="G146" i="11"/>
  <c r="U146" i="11"/>
  <c r="G145" i="11"/>
  <c r="U145" i="11"/>
  <c r="G148" i="11"/>
  <c r="G142" i="11"/>
  <c r="G141" i="11"/>
  <c r="G143" i="11"/>
  <c r="G144" i="11"/>
  <c r="U144" i="11"/>
  <c r="G138" i="11"/>
  <c r="G139" i="11"/>
  <c r="G140" i="11"/>
  <c r="Q92" i="11"/>
  <c r="R92" i="11" s="1"/>
  <c r="S92" i="11" s="1"/>
  <c r="Q88" i="11"/>
  <c r="R88" i="11" s="1"/>
  <c r="S88" i="11" s="1"/>
  <c r="Q87" i="11"/>
  <c r="R87" i="11" s="1"/>
  <c r="S87" i="11" s="1"/>
  <c r="G88" i="11"/>
  <c r="G95" i="11"/>
  <c r="G94" i="11"/>
  <c r="G90" i="11"/>
  <c r="G87" i="11"/>
  <c r="U93" i="11"/>
  <c r="G91" i="11"/>
  <c r="G96" i="11"/>
  <c r="U96" i="11"/>
  <c r="Q95" i="11"/>
  <c r="R95" i="11" s="1"/>
  <c r="S95" i="11" s="1"/>
  <c r="O95" i="11"/>
  <c r="P95" i="11" s="1"/>
  <c r="Q94" i="11"/>
  <c r="R94" i="11" s="1"/>
  <c r="S94" i="11" s="1"/>
  <c r="O94" i="11"/>
  <c r="P94" i="11" s="1"/>
  <c r="R86" i="11"/>
  <c r="S86" i="11" s="1"/>
  <c r="O86" i="11"/>
  <c r="P86" i="11" s="1"/>
  <c r="F86" i="11"/>
  <c r="F92" i="11"/>
  <c r="G44" i="11"/>
  <c r="U44" i="11"/>
  <c r="G34" i="11"/>
  <c r="U34" i="11"/>
  <c r="N90" i="11"/>
  <c r="O90" i="11" s="1"/>
  <c r="P90" i="11" s="1"/>
  <c r="G40" i="11"/>
  <c r="G36" i="11"/>
  <c r="G42" i="11"/>
  <c r="G43" i="11"/>
  <c r="B51" i="11"/>
  <c r="G41" i="11"/>
  <c r="G39" i="11"/>
  <c r="G33" i="11"/>
  <c r="U33" i="11"/>
  <c r="N89" i="11"/>
  <c r="G38" i="11"/>
  <c r="G37" i="11"/>
  <c r="U37" i="11"/>
  <c r="G35" i="11"/>
  <c r="N91" i="11"/>
  <c r="B169" i="16"/>
  <c r="U143" i="11" l="1"/>
  <c r="U41" i="11"/>
  <c r="U42" i="11"/>
  <c r="U141" i="11"/>
  <c r="B50" i="11"/>
  <c r="B48" i="11"/>
  <c r="B153" i="11"/>
  <c r="B154" i="11"/>
  <c r="U43" i="11"/>
  <c r="U40" i="11"/>
  <c r="U140" i="11"/>
  <c r="U138" i="11"/>
  <c r="U39" i="11"/>
  <c r="U192" i="11"/>
  <c r="U38" i="11"/>
  <c r="B49" i="11"/>
  <c r="U148" i="11"/>
  <c r="U194" i="11"/>
  <c r="U35" i="11"/>
  <c r="U195" i="11"/>
  <c r="B155" i="11"/>
  <c r="B198" i="11"/>
  <c r="U142" i="11"/>
  <c r="U139" i="11"/>
  <c r="U88" i="11"/>
  <c r="U36" i="11"/>
  <c r="U87" i="11"/>
  <c r="G86" i="11"/>
  <c r="U86" i="11"/>
  <c r="B100" i="11"/>
  <c r="U95" i="11"/>
  <c r="U94" i="11"/>
  <c r="B103" i="11"/>
  <c r="G92" i="11"/>
  <c r="U92" i="11"/>
  <c r="Q89" i="11"/>
  <c r="R89" i="11" s="1"/>
  <c r="O89" i="11"/>
  <c r="P89" i="11" s="1"/>
  <c r="Q91" i="11"/>
  <c r="R91" i="11" s="1"/>
  <c r="O91" i="11"/>
  <c r="P91" i="11" s="1"/>
  <c r="Q90" i="11"/>
  <c r="R90" i="11" s="1"/>
  <c r="B170" i="16"/>
  <c r="B199" i="11" l="1"/>
  <c r="S90" i="11"/>
  <c r="U90" i="11"/>
  <c r="S89" i="11"/>
  <c r="B101" i="11"/>
  <c r="U89" i="11"/>
  <c r="S91" i="11"/>
  <c r="B102" i="11"/>
  <c r="U91" i="11"/>
  <c r="B171" i="16"/>
  <c r="B200" i="11" l="1"/>
  <c r="B172" i="16"/>
  <c r="B201" i="11" l="1"/>
  <c r="B173" i="16"/>
  <c r="B202" i="11" l="1"/>
  <c r="B174" i="16"/>
  <c r="B203" i="11" l="1"/>
  <c r="B175" i="16"/>
  <c r="B176" i="16" l="1"/>
  <c r="W139" i="16" l="1"/>
  <c r="W140" i="16"/>
  <c r="X140" i="16" s="1"/>
  <c r="W141" i="16"/>
  <c r="X141" i="16" s="1"/>
  <c r="W142" i="16"/>
  <c r="X142" i="16" s="1"/>
  <c r="W143" i="16"/>
  <c r="W144" i="16"/>
  <c r="X144" i="16" s="1"/>
  <c r="W145" i="16"/>
  <c r="X145" i="16" s="1"/>
  <c r="W146" i="16"/>
  <c r="X146" i="16" s="1"/>
  <c r="W147" i="16"/>
  <c r="X147" i="16" s="1"/>
  <c r="W148" i="16"/>
  <c r="X148" i="16" s="1"/>
  <c r="W149" i="16"/>
  <c r="X149" i="16" s="1"/>
  <c r="W150" i="16"/>
  <c r="X150" i="16" s="1"/>
  <c r="W151" i="16"/>
  <c r="W138" i="16"/>
  <c r="X138" i="16" s="1"/>
  <c r="U139" i="16"/>
  <c r="V139" i="16" s="1"/>
  <c r="U140" i="16"/>
  <c r="V140" i="16" s="1"/>
  <c r="U141" i="16"/>
  <c r="V141" i="16" s="1"/>
  <c r="U142" i="16"/>
  <c r="V142" i="16" s="1"/>
  <c r="U143" i="16"/>
  <c r="V143" i="16" s="1"/>
  <c r="U144" i="16"/>
  <c r="V144" i="16" s="1"/>
  <c r="U145" i="16"/>
  <c r="V145" i="16" s="1"/>
  <c r="U146" i="16"/>
  <c r="V146" i="16" s="1"/>
  <c r="U147" i="16"/>
  <c r="V147" i="16" s="1"/>
  <c r="U148" i="16"/>
  <c r="V148" i="16" s="1"/>
  <c r="U149" i="16"/>
  <c r="V149" i="16" s="1"/>
  <c r="U150" i="16"/>
  <c r="V150" i="16" s="1"/>
  <c r="U151" i="16"/>
  <c r="V151" i="16" s="1"/>
  <c r="U138" i="16"/>
  <c r="V138" i="16" s="1"/>
  <c r="X151" i="16"/>
  <c r="R151" i="16"/>
  <c r="P151" i="16"/>
  <c r="H151" i="16"/>
  <c r="E151" i="16"/>
  <c r="R150" i="16"/>
  <c r="P150" i="16"/>
  <c r="H150" i="16"/>
  <c r="E150" i="16"/>
  <c r="R149" i="16"/>
  <c r="P149" i="16"/>
  <c r="H149" i="16"/>
  <c r="E149" i="16"/>
  <c r="R148" i="16"/>
  <c r="P148" i="16"/>
  <c r="H148" i="16"/>
  <c r="E148" i="16"/>
  <c r="R147" i="16"/>
  <c r="P147" i="16"/>
  <c r="H147" i="16"/>
  <c r="E147" i="16"/>
  <c r="R146" i="16"/>
  <c r="P146" i="16"/>
  <c r="H146" i="16"/>
  <c r="E146" i="16"/>
  <c r="R145" i="16"/>
  <c r="P145" i="16"/>
  <c r="H145" i="16"/>
  <c r="E145" i="16"/>
  <c r="R144" i="16"/>
  <c r="P144" i="16"/>
  <c r="H144" i="16"/>
  <c r="E144" i="16"/>
  <c r="X143" i="16"/>
  <c r="R143" i="16"/>
  <c r="P143" i="16"/>
  <c r="H143" i="16"/>
  <c r="E143" i="16"/>
  <c r="R142" i="16"/>
  <c r="P142" i="16"/>
  <c r="H142" i="16"/>
  <c r="E142" i="16"/>
  <c r="R141" i="16"/>
  <c r="P141" i="16"/>
  <c r="H141" i="16"/>
  <c r="E141" i="16"/>
  <c r="R140" i="16"/>
  <c r="P140" i="16"/>
  <c r="H140" i="16"/>
  <c r="E140" i="16"/>
  <c r="A140" i="16"/>
  <c r="A141" i="16" s="1"/>
  <c r="A142" i="16" s="1"/>
  <c r="A143" i="16" s="1"/>
  <c r="A144" i="16" s="1"/>
  <c r="A145" i="16" s="1"/>
  <c r="A146" i="16" s="1"/>
  <c r="A147" i="16" s="1"/>
  <c r="A148" i="16" s="1"/>
  <c r="A149" i="16" s="1"/>
  <c r="A150" i="16" s="1"/>
  <c r="A151" i="16" s="1"/>
  <c r="X139" i="16"/>
  <c r="R139" i="16"/>
  <c r="P139" i="16"/>
  <c r="H139" i="16"/>
  <c r="E139" i="16"/>
  <c r="R138" i="16"/>
  <c r="P138" i="16"/>
  <c r="D163" i="16" s="1"/>
  <c r="H138" i="16"/>
  <c r="R163" i="16" s="1"/>
  <c r="E138" i="16"/>
  <c r="N163" i="16" s="1"/>
  <c r="O163" i="16" l="1"/>
  <c r="E163" i="16"/>
  <c r="N174" i="16"/>
  <c r="O174" i="16" s="1"/>
  <c r="N165" i="16"/>
  <c r="O165" i="16" s="1"/>
  <c r="N167" i="16"/>
  <c r="O167" i="16" s="1"/>
  <c r="R169" i="16"/>
  <c r="R171" i="16"/>
  <c r="R172" i="16"/>
  <c r="R174" i="16"/>
  <c r="N172" i="16"/>
  <c r="O172" i="16" s="1"/>
  <c r="N164" i="16"/>
  <c r="O164" i="16" s="1"/>
  <c r="R165" i="16"/>
  <c r="R167" i="16"/>
  <c r="N168" i="16"/>
  <c r="O168" i="16" s="1"/>
  <c r="N170" i="16"/>
  <c r="O170" i="16" s="1"/>
  <c r="N173" i="16"/>
  <c r="O173" i="16" s="1"/>
  <c r="N175" i="16"/>
  <c r="O175" i="16" s="1"/>
  <c r="R166" i="16"/>
  <c r="N169" i="16"/>
  <c r="O169" i="16" s="1"/>
  <c r="N171" i="16"/>
  <c r="O171" i="16" s="1"/>
  <c r="R164" i="16"/>
  <c r="N166" i="16"/>
  <c r="O166" i="16" s="1"/>
  <c r="R168" i="16"/>
  <c r="R170" i="16"/>
  <c r="R173" i="16"/>
  <c r="R175" i="16"/>
  <c r="D166" i="16"/>
  <c r="D169" i="16"/>
  <c r="D171" i="16"/>
  <c r="D172" i="16"/>
  <c r="D174" i="16"/>
  <c r="D165" i="16"/>
  <c r="E165" i="16" s="1"/>
  <c r="F165" i="16" s="1"/>
  <c r="D167" i="16"/>
  <c r="E167" i="16" s="1"/>
  <c r="F167" i="16" s="1"/>
  <c r="D164" i="16"/>
  <c r="D168" i="16"/>
  <c r="E168" i="16" s="1"/>
  <c r="F168" i="16" s="1"/>
  <c r="D170" i="16"/>
  <c r="E170" i="16" s="1"/>
  <c r="F170" i="16" s="1"/>
  <c r="D173" i="16"/>
  <c r="D175" i="16"/>
  <c r="W93" i="16"/>
  <c r="X93" i="16" s="1"/>
  <c r="W94" i="16"/>
  <c r="X94" i="16" s="1"/>
  <c r="W95" i="16"/>
  <c r="X95" i="16" s="1"/>
  <c r="W96" i="16"/>
  <c r="X96" i="16" s="1"/>
  <c r="W97" i="16"/>
  <c r="X97" i="16" s="1"/>
  <c r="W98" i="16"/>
  <c r="X98" i="16" s="1"/>
  <c r="W99" i="16"/>
  <c r="X99" i="16" s="1"/>
  <c r="W100" i="16"/>
  <c r="X100" i="16" s="1"/>
  <c r="W101" i="16"/>
  <c r="X101" i="16" s="1"/>
  <c r="W102" i="16"/>
  <c r="X102" i="16" s="1"/>
  <c r="W103" i="16"/>
  <c r="X103" i="16" s="1"/>
  <c r="W104" i="16"/>
  <c r="X104" i="16" s="1"/>
  <c r="W105" i="16"/>
  <c r="W92" i="16"/>
  <c r="X92" i="16" s="1"/>
  <c r="U93" i="16"/>
  <c r="V93" i="16" s="1"/>
  <c r="U94" i="16"/>
  <c r="V94" i="16" s="1"/>
  <c r="U95" i="16"/>
  <c r="V95" i="16" s="1"/>
  <c r="U96" i="16"/>
  <c r="V96" i="16" s="1"/>
  <c r="U97" i="16"/>
  <c r="V97" i="16" s="1"/>
  <c r="U98" i="16"/>
  <c r="V98" i="16" s="1"/>
  <c r="U99" i="16"/>
  <c r="V99" i="16" s="1"/>
  <c r="U100" i="16"/>
  <c r="V100" i="16" s="1"/>
  <c r="U101" i="16"/>
  <c r="V101" i="16" s="1"/>
  <c r="U102" i="16"/>
  <c r="V102" i="16" s="1"/>
  <c r="U103" i="16"/>
  <c r="V103" i="16" s="1"/>
  <c r="U104" i="16"/>
  <c r="V104" i="16" s="1"/>
  <c r="U105" i="16"/>
  <c r="V105" i="16" s="1"/>
  <c r="U92" i="16"/>
  <c r="V92" i="16" s="1"/>
  <c r="X105" i="16"/>
  <c r="R105" i="16"/>
  <c r="P105" i="16"/>
  <c r="H105" i="16"/>
  <c r="E105" i="16"/>
  <c r="R104" i="16"/>
  <c r="P104" i="16"/>
  <c r="H104" i="16"/>
  <c r="E104" i="16"/>
  <c r="R103" i="16"/>
  <c r="P103" i="16"/>
  <c r="H103" i="16"/>
  <c r="E103" i="16"/>
  <c r="R102" i="16"/>
  <c r="P102" i="16"/>
  <c r="H102" i="16"/>
  <c r="E102" i="16"/>
  <c r="R101" i="16"/>
  <c r="P101" i="16"/>
  <c r="H101" i="16"/>
  <c r="E101" i="16"/>
  <c r="R100" i="16"/>
  <c r="P100" i="16"/>
  <c r="H100" i="16"/>
  <c r="E100" i="16"/>
  <c r="R99" i="16"/>
  <c r="P99" i="16"/>
  <c r="H99" i="16"/>
  <c r="E99" i="16"/>
  <c r="R98" i="16"/>
  <c r="P98" i="16"/>
  <c r="H98" i="16"/>
  <c r="E98" i="16"/>
  <c r="R97" i="16"/>
  <c r="P97" i="16"/>
  <c r="H97" i="16"/>
  <c r="E97" i="16"/>
  <c r="R96" i="16"/>
  <c r="P96" i="16"/>
  <c r="H96" i="16"/>
  <c r="E96" i="16"/>
  <c r="R95" i="16"/>
  <c r="P95" i="16"/>
  <c r="H95" i="16"/>
  <c r="E95" i="16"/>
  <c r="R94" i="16"/>
  <c r="P94" i="16"/>
  <c r="H94" i="16"/>
  <c r="E94" i="16"/>
  <c r="R93" i="16"/>
  <c r="P93" i="16"/>
  <c r="H93" i="16"/>
  <c r="E93" i="16"/>
  <c r="R92" i="16"/>
  <c r="P92" i="16"/>
  <c r="D117" i="16" s="1"/>
  <c r="H92" i="16"/>
  <c r="R117" i="16" s="1"/>
  <c r="E92" i="16"/>
  <c r="N117" i="16" s="1"/>
  <c r="B83" i="16"/>
  <c r="B82" i="16"/>
  <c r="B81" i="16"/>
  <c r="B80" i="16"/>
  <c r="B79" i="16"/>
  <c r="B78" i="16"/>
  <c r="B77" i="16"/>
  <c r="B76" i="16"/>
  <c r="B75" i="16"/>
  <c r="B74" i="16"/>
  <c r="B73" i="16"/>
  <c r="B72" i="16"/>
  <c r="W48" i="16"/>
  <c r="X48" i="16" s="1"/>
  <c r="W49" i="16"/>
  <c r="X49" i="16" s="1"/>
  <c r="W50" i="16"/>
  <c r="X50" i="16" s="1"/>
  <c r="W51" i="16"/>
  <c r="X51" i="16" s="1"/>
  <c r="W52" i="16"/>
  <c r="X52" i="16" s="1"/>
  <c r="W53" i="16"/>
  <c r="X53" i="16" s="1"/>
  <c r="W54" i="16"/>
  <c r="X54" i="16" s="1"/>
  <c r="W55" i="16"/>
  <c r="X55" i="16" s="1"/>
  <c r="W56" i="16"/>
  <c r="X56" i="16" s="1"/>
  <c r="W57" i="16"/>
  <c r="X57" i="16" s="1"/>
  <c r="W58" i="16"/>
  <c r="X58" i="16" s="1"/>
  <c r="W59" i="16"/>
  <c r="X59" i="16" s="1"/>
  <c r="W47" i="16"/>
  <c r="X47" i="16" s="1"/>
  <c r="U48" i="16"/>
  <c r="V48" i="16" s="1"/>
  <c r="U49" i="16"/>
  <c r="U50" i="16"/>
  <c r="V50" i="16" s="1"/>
  <c r="U51" i="16"/>
  <c r="V51" i="16" s="1"/>
  <c r="U52" i="16"/>
  <c r="V52" i="16" s="1"/>
  <c r="U53" i="16"/>
  <c r="V53" i="16" s="1"/>
  <c r="U54" i="16"/>
  <c r="V54" i="16" s="1"/>
  <c r="U55" i="16"/>
  <c r="V55" i="16" s="1"/>
  <c r="U56" i="16"/>
  <c r="V56" i="16" s="1"/>
  <c r="U57" i="16"/>
  <c r="V57" i="16" s="1"/>
  <c r="U58" i="16"/>
  <c r="V58" i="16" s="1"/>
  <c r="U59" i="16"/>
  <c r="V59" i="16" s="1"/>
  <c r="U47" i="16"/>
  <c r="V47" i="16" s="1"/>
  <c r="A59" i="16"/>
  <c r="D82" i="16"/>
  <c r="R82" i="16"/>
  <c r="N82" i="16"/>
  <c r="A58" i="16"/>
  <c r="D81" i="16"/>
  <c r="R81" i="16"/>
  <c r="N81" i="16"/>
  <c r="A57" i="16"/>
  <c r="D80" i="16"/>
  <c r="R80" i="16"/>
  <c r="N80" i="16"/>
  <c r="A56" i="16"/>
  <c r="D79" i="16"/>
  <c r="R79" i="16"/>
  <c r="A55" i="16"/>
  <c r="D78" i="16"/>
  <c r="R78" i="16"/>
  <c r="N78" i="16"/>
  <c r="O78" i="16" s="1"/>
  <c r="A54" i="16"/>
  <c r="D77" i="16"/>
  <c r="R77" i="16"/>
  <c r="A53" i="16"/>
  <c r="D76" i="16"/>
  <c r="R76" i="16"/>
  <c r="N76" i="16"/>
  <c r="A52" i="16"/>
  <c r="D75" i="16"/>
  <c r="R75" i="16"/>
  <c r="A51" i="16"/>
  <c r="D74" i="16"/>
  <c r="R74" i="16"/>
  <c r="N74" i="16"/>
  <c r="A50" i="16"/>
  <c r="V49" i="16"/>
  <c r="D73" i="16"/>
  <c r="R73" i="16"/>
  <c r="N73" i="16"/>
  <c r="A49" i="16"/>
  <c r="D72" i="16"/>
  <c r="R72" i="16"/>
  <c r="A48" i="16"/>
  <c r="D71" i="16"/>
  <c r="R71" i="16"/>
  <c r="N71" i="16"/>
  <c r="W4" i="16"/>
  <c r="X4" i="16" s="1"/>
  <c r="W5" i="16"/>
  <c r="X5" i="16" s="1"/>
  <c r="W6" i="16"/>
  <c r="X6" i="16" s="1"/>
  <c r="W7" i="16"/>
  <c r="X7" i="16" s="1"/>
  <c r="W8" i="16"/>
  <c r="X8" i="16" s="1"/>
  <c r="W9" i="16"/>
  <c r="X9" i="16" s="1"/>
  <c r="W10" i="16"/>
  <c r="X10" i="16" s="1"/>
  <c r="W11" i="16"/>
  <c r="X11" i="16" s="1"/>
  <c r="W12" i="16"/>
  <c r="X12" i="16" s="1"/>
  <c r="W13" i="16"/>
  <c r="X13" i="16" s="1"/>
  <c r="W14" i="16"/>
  <c r="X14" i="16" s="1"/>
  <c r="W15" i="16"/>
  <c r="X15" i="16" s="1"/>
  <c r="W3" i="16"/>
  <c r="X3" i="16" s="1"/>
  <c r="U4" i="16"/>
  <c r="V4" i="16" s="1"/>
  <c r="U5" i="16"/>
  <c r="V5" i="16" s="1"/>
  <c r="U6" i="16"/>
  <c r="V6" i="16" s="1"/>
  <c r="U7" i="16"/>
  <c r="V7" i="16" s="1"/>
  <c r="U8" i="16"/>
  <c r="V8" i="16" s="1"/>
  <c r="U9" i="16"/>
  <c r="V9" i="16" s="1"/>
  <c r="U10" i="16"/>
  <c r="V10" i="16" s="1"/>
  <c r="U11" i="16"/>
  <c r="V11" i="16" s="1"/>
  <c r="U12" i="16"/>
  <c r="V12" i="16" s="1"/>
  <c r="U13" i="16"/>
  <c r="V13" i="16" s="1"/>
  <c r="U14" i="16"/>
  <c r="V14" i="16" s="1"/>
  <c r="U15" i="16"/>
  <c r="V15" i="16" s="1"/>
  <c r="U3" i="16"/>
  <c r="V3" i="16" s="1"/>
  <c r="P15" i="16"/>
  <c r="H15" i="16"/>
  <c r="E15" i="16"/>
  <c r="P14" i="16"/>
  <c r="H14" i="16"/>
  <c r="E14" i="16"/>
  <c r="P13" i="16"/>
  <c r="H13" i="16"/>
  <c r="E13" i="16"/>
  <c r="P12" i="16"/>
  <c r="H12" i="16"/>
  <c r="E12" i="16"/>
  <c r="P11" i="16"/>
  <c r="H11" i="16"/>
  <c r="E11" i="16"/>
  <c r="P10" i="16"/>
  <c r="H10" i="16"/>
  <c r="E10" i="16"/>
  <c r="P9" i="16"/>
  <c r="H9" i="16"/>
  <c r="E9" i="16"/>
  <c r="P8" i="16"/>
  <c r="H8" i="16"/>
  <c r="E8" i="16"/>
  <c r="P7" i="16"/>
  <c r="H7" i="16"/>
  <c r="E7" i="16"/>
  <c r="P6" i="16"/>
  <c r="H6" i="16"/>
  <c r="E6" i="16"/>
  <c r="P5" i="16"/>
  <c r="H5" i="16"/>
  <c r="E5" i="16"/>
  <c r="P4" i="16"/>
  <c r="H4" i="16"/>
  <c r="E4" i="16"/>
  <c r="P3" i="16"/>
  <c r="H3" i="16"/>
  <c r="R27" i="16" s="1"/>
  <c r="E3" i="16"/>
  <c r="N27" i="16" s="1"/>
  <c r="X56" i="1"/>
  <c r="X59" i="1"/>
  <c r="X60" i="1"/>
  <c r="X64" i="1"/>
  <c r="X36" i="1"/>
  <c r="X37" i="1"/>
  <c r="X41" i="1"/>
  <c r="X44" i="1"/>
  <c r="X45" i="1"/>
  <c r="X35" i="1"/>
  <c r="X22" i="1"/>
  <c r="X23" i="1"/>
  <c r="X27" i="1"/>
  <c r="X30" i="1"/>
  <c r="X31" i="1"/>
  <c r="X9" i="1"/>
  <c r="X10" i="1"/>
  <c r="W53" i="1"/>
  <c r="X53" i="1" s="1"/>
  <c r="W54" i="1"/>
  <c r="X54" i="1" s="1"/>
  <c r="W55" i="1"/>
  <c r="X55" i="1" s="1"/>
  <c r="W56" i="1"/>
  <c r="W57" i="1"/>
  <c r="X57" i="1" s="1"/>
  <c r="W58" i="1"/>
  <c r="X58" i="1" s="1"/>
  <c r="W59" i="1"/>
  <c r="W60" i="1"/>
  <c r="W61" i="1"/>
  <c r="X61" i="1" s="1"/>
  <c r="W62" i="1"/>
  <c r="X62" i="1" s="1"/>
  <c r="W63" i="1"/>
  <c r="X63" i="1" s="1"/>
  <c r="W64" i="1"/>
  <c r="W65" i="1"/>
  <c r="X65" i="1" s="1"/>
  <c r="W52" i="1"/>
  <c r="X52" i="1" s="1"/>
  <c r="W36" i="1"/>
  <c r="W37" i="1"/>
  <c r="W38" i="1"/>
  <c r="X38" i="1" s="1"/>
  <c r="W39" i="1"/>
  <c r="X39" i="1" s="1"/>
  <c r="W40" i="1"/>
  <c r="X40" i="1" s="1"/>
  <c r="W41" i="1"/>
  <c r="W42" i="1"/>
  <c r="X42" i="1" s="1"/>
  <c r="W43" i="1"/>
  <c r="X43" i="1" s="1"/>
  <c r="W44" i="1"/>
  <c r="W45" i="1"/>
  <c r="W46" i="1"/>
  <c r="X46" i="1" s="1"/>
  <c r="W47" i="1"/>
  <c r="X47" i="1" s="1"/>
  <c r="W48" i="1"/>
  <c r="X48" i="1" s="1"/>
  <c r="W35" i="1"/>
  <c r="W20" i="1"/>
  <c r="X20" i="1" s="1"/>
  <c r="W21" i="1"/>
  <c r="X21" i="1" s="1"/>
  <c r="W22" i="1"/>
  <c r="W23" i="1"/>
  <c r="W24" i="1"/>
  <c r="X24" i="1" s="1"/>
  <c r="W25" i="1"/>
  <c r="X25" i="1" s="1"/>
  <c r="W26" i="1"/>
  <c r="X26" i="1" s="1"/>
  <c r="W27" i="1"/>
  <c r="W28" i="1"/>
  <c r="X28" i="1" s="1"/>
  <c r="W29" i="1"/>
  <c r="X29" i="1" s="1"/>
  <c r="W30" i="1"/>
  <c r="W31" i="1"/>
  <c r="W19" i="1"/>
  <c r="X19" i="1" s="1"/>
  <c r="W4" i="1"/>
  <c r="X4" i="1" s="1"/>
  <c r="W5" i="1"/>
  <c r="X5" i="1" s="1"/>
  <c r="W6" i="1"/>
  <c r="X6" i="1" s="1"/>
  <c r="W7" i="1"/>
  <c r="X7" i="1" s="1"/>
  <c r="W8" i="1"/>
  <c r="X8" i="1" s="1"/>
  <c r="W9" i="1"/>
  <c r="W10" i="1"/>
  <c r="W11" i="1"/>
  <c r="X11" i="1" s="1"/>
  <c r="W12" i="1"/>
  <c r="X12" i="1" s="1"/>
  <c r="W13" i="1"/>
  <c r="X13" i="1" s="1"/>
  <c r="W14" i="1"/>
  <c r="X14" i="1" s="1"/>
  <c r="W15" i="1"/>
  <c r="X15" i="1" s="1"/>
  <c r="W3" i="1"/>
  <c r="V55" i="1"/>
  <c r="V56" i="1"/>
  <c r="V60" i="1"/>
  <c r="V63" i="1"/>
  <c r="V64" i="1"/>
  <c r="V37" i="1"/>
  <c r="V40" i="1"/>
  <c r="V41" i="1"/>
  <c r="V45" i="1"/>
  <c r="V48" i="1"/>
  <c r="V35" i="1"/>
  <c r="V23" i="1"/>
  <c r="V26" i="1"/>
  <c r="V27" i="1"/>
  <c r="U52" i="1"/>
  <c r="V52" i="1" s="1"/>
  <c r="U35" i="1"/>
  <c r="U19" i="1"/>
  <c r="V19" i="1" s="1"/>
  <c r="V6" i="1"/>
  <c r="U53" i="1"/>
  <c r="V53" i="1" s="1"/>
  <c r="U54" i="1"/>
  <c r="V54" i="1" s="1"/>
  <c r="U55" i="1"/>
  <c r="U56" i="1"/>
  <c r="U57" i="1"/>
  <c r="V57" i="1" s="1"/>
  <c r="U58" i="1"/>
  <c r="V58" i="1" s="1"/>
  <c r="U59" i="1"/>
  <c r="V59" i="1" s="1"/>
  <c r="U60" i="1"/>
  <c r="U61" i="1"/>
  <c r="V61" i="1" s="1"/>
  <c r="U62" i="1"/>
  <c r="V62" i="1" s="1"/>
  <c r="U63" i="1"/>
  <c r="U64" i="1"/>
  <c r="U65" i="1"/>
  <c r="V65" i="1" s="1"/>
  <c r="U36" i="1"/>
  <c r="V36" i="1" s="1"/>
  <c r="U37" i="1"/>
  <c r="U38" i="1"/>
  <c r="V38" i="1" s="1"/>
  <c r="U39" i="1"/>
  <c r="V39" i="1" s="1"/>
  <c r="U40" i="1"/>
  <c r="U41" i="1"/>
  <c r="U42" i="1"/>
  <c r="V42" i="1" s="1"/>
  <c r="U43" i="1"/>
  <c r="V43" i="1" s="1"/>
  <c r="U44" i="1"/>
  <c r="V44" i="1" s="1"/>
  <c r="U45" i="1"/>
  <c r="U46" i="1"/>
  <c r="V46" i="1" s="1"/>
  <c r="U47" i="1"/>
  <c r="V47" i="1" s="1"/>
  <c r="U48" i="1"/>
  <c r="U20" i="1"/>
  <c r="V20" i="1" s="1"/>
  <c r="U21" i="1"/>
  <c r="V21" i="1" s="1"/>
  <c r="U22" i="1"/>
  <c r="V22" i="1" s="1"/>
  <c r="U23" i="1"/>
  <c r="U24" i="1"/>
  <c r="V24" i="1" s="1"/>
  <c r="U25" i="1"/>
  <c r="V25" i="1" s="1"/>
  <c r="U26" i="1"/>
  <c r="U27" i="1"/>
  <c r="U28" i="1"/>
  <c r="V28" i="1" s="1"/>
  <c r="U29" i="1"/>
  <c r="V29" i="1" s="1"/>
  <c r="U30" i="1"/>
  <c r="V30" i="1" s="1"/>
  <c r="U31" i="1"/>
  <c r="V31" i="1" s="1"/>
  <c r="U4" i="1"/>
  <c r="V4" i="1" s="1"/>
  <c r="U5" i="1"/>
  <c r="V5" i="1" s="1"/>
  <c r="U6" i="1"/>
  <c r="U7" i="1"/>
  <c r="V7" i="1" s="1"/>
  <c r="U8" i="1"/>
  <c r="V8" i="1" s="1"/>
  <c r="U9" i="1"/>
  <c r="V9" i="1" s="1"/>
  <c r="U10" i="1"/>
  <c r="V10" i="1" s="1"/>
  <c r="U11" i="1"/>
  <c r="V11" i="1" s="1"/>
  <c r="U12" i="1"/>
  <c r="V12" i="1" s="1"/>
  <c r="U13" i="1"/>
  <c r="V13" i="1" s="1"/>
  <c r="U14" i="1"/>
  <c r="V14" i="1" s="1"/>
  <c r="U15" i="1"/>
  <c r="V15" i="1" s="1"/>
  <c r="U3" i="1"/>
  <c r="V3" i="1" s="1"/>
  <c r="P53" i="1"/>
  <c r="P54" i="1"/>
  <c r="P55" i="1"/>
  <c r="P56" i="1"/>
  <c r="P57" i="1"/>
  <c r="P58" i="1"/>
  <c r="P59" i="1"/>
  <c r="P60" i="1"/>
  <c r="P61" i="1"/>
  <c r="P62" i="1"/>
  <c r="P63" i="1"/>
  <c r="P64" i="1"/>
  <c r="P65" i="1"/>
  <c r="P52" i="1"/>
  <c r="P36" i="1"/>
  <c r="P37" i="1"/>
  <c r="P38" i="1"/>
  <c r="P39" i="1"/>
  <c r="P40" i="1"/>
  <c r="P41" i="1"/>
  <c r="P42" i="1"/>
  <c r="P43" i="1"/>
  <c r="P44" i="1"/>
  <c r="P45" i="1"/>
  <c r="P46" i="1"/>
  <c r="P47" i="1"/>
  <c r="P48" i="1"/>
  <c r="P35" i="1"/>
  <c r="P20" i="1"/>
  <c r="P21" i="1"/>
  <c r="P22" i="1"/>
  <c r="P23" i="1"/>
  <c r="P24" i="1"/>
  <c r="P25" i="1"/>
  <c r="P26" i="1"/>
  <c r="P27" i="1"/>
  <c r="P28" i="1"/>
  <c r="P29" i="1"/>
  <c r="P30" i="1"/>
  <c r="P31" i="1"/>
  <c r="P19" i="1"/>
  <c r="P4" i="1"/>
  <c r="P5" i="1"/>
  <c r="P6" i="1"/>
  <c r="P7" i="1"/>
  <c r="P8" i="1"/>
  <c r="P9" i="1"/>
  <c r="P10" i="1"/>
  <c r="P11" i="1"/>
  <c r="P12" i="1"/>
  <c r="P13" i="1"/>
  <c r="P14" i="1"/>
  <c r="P15" i="1"/>
  <c r="P3" i="1"/>
  <c r="H53" i="1"/>
  <c r="H54" i="1"/>
  <c r="H55" i="1"/>
  <c r="H56" i="1"/>
  <c r="H57" i="1"/>
  <c r="H58" i="1"/>
  <c r="H59" i="1"/>
  <c r="H60" i="1"/>
  <c r="H61" i="1"/>
  <c r="H62" i="1"/>
  <c r="H63" i="1"/>
  <c r="H64" i="1"/>
  <c r="H65" i="1"/>
  <c r="H52" i="1"/>
  <c r="H36" i="1"/>
  <c r="H37" i="1"/>
  <c r="H38" i="1"/>
  <c r="H39" i="1"/>
  <c r="H40" i="1"/>
  <c r="H41" i="1"/>
  <c r="H42" i="1"/>
  <c r="H43" i="1"/>
  <c r="H44" i="1"/>
  <c r="H45" i="1"/>
  <c r="H46" i="1"/>
  <c r="H47" i="1"/>
  <c r="H48" i="1"/>
  <c r="H35" i="1"/>
  <c r="H19" i="1"/>
  <c r="H20" i="1"/>
  <c r="H21" i="1"/>
  <c r="H22" i="1"/>
  <c r="H23" i="1"/>
  <c r="H24" i="1"/>
  <c r="H25" i="1"/>
  <c r="H26" i="1"/>
  <c r="H27" i="1"/>
  <c r="H28" i="1"/>
  <c r="H29" i="1"/>
  <c r="H30" i="1"/>
  <c r="H31" i="1"/>
  <c r="H4" i="1"/>
  <c r="H5" i="1"/>
  <c r="H6" i="1"/>
  <c r="H7" i="1"/>
  <c r="H8" i="1"/>
  <c r="H9" i="1"/>
  <c r="H10" i="1"/>
  <c r="H11" i="1"/>
  <c r="H12" i="1"/>
  <c r="H13" i="1"/>
  <c r="H14" i="1"/>
  <c r="H15" i="1"/>
  <c r="H3" i="1"/>
  <c r="E53" i="1"/>
  <c r="E54" i="1"/>
  <c r="E55" i="1"/>
  <c r="E56" i="1"/>
  <c r="E57" i="1"/>
  <c r="E58" i="1"/>
  <c r="E59" i="1"/>
  <c r="E60" i="1"/>
  <c r="E61" i="1"/>
  <c r="E62" i="1"/>
  <c r="E63" i="1"/>
  <c r="E64" i="1"/>
  <c r="E65" i="1"/>
  <c r="E52" i="1"/>
  <c r="E36" i="1"/>
  <c r="E37" i="1"/>
  <c r="E38" i="1"/>
  <c r="E39" i="1"/>
  <c r="E40" i="1"/>
  <c r="E41" i="1"/>
  <c r="E42" i="1"/>
  <c r="E43" i="1"/>
  <c r="E44" i="1"/>
  <c r="E45" i="1"/>
  <c r="E46" i="1"/>
  <c r="E47" i="1"/>
  <c r="E48" i="1"/>
  <c r="E35" i="1"/>
  <c r="E19" i="1"/>
  <c r="E20" i="1"/>
  <c r="E21" i="1"/>
  <c r="E22" i="1"/>
  <c r="E23" i="1"/>
  <c r="E24" i="1"/>
  <c r="E25" i="1"/>
  <c r="E26" i="1"/>
  <c r="E27" i="1"/>
  <c r="E28" i="1"/>
  <c r="E29" i="1"/>
  <c r="E30" i="1"/>
  <c r="E31" i="1"/>
  <c r="E4" i="1"/>
  <c r="E5" i="1"/>
  <c r="E6" i="1"/>
  <c r="E7" i="1"/>
  <c r="E8" i="1"/>
  <c r="E9" i="1"/>
  <c r="E10" i="1"/>
  <c r="E11" i="1"/>
  <c r="E12" i="1"/>
  <c r="E13" i="1"/>
  <c r="E14" i="1"/>
  <c r="E15" i="1"/>
  <c r="E3" i="1"/>
  <c r="D22" i="6"/>
  <c r="D23" i="6"/>
  <c r="D24" i="6"/>
  <c r="D25" i="6"/>
  <c r="D26" i="6"/>
  <c r="D27" i="6"/>
  <c r="D28" i="6"/>
  <c r="D29" i="6"/>
  <c r="D30" i="6"/>
  <c r="D31" i="6"/>
  <c r="D32" i="6"/>
  <c r="D33" i="6"/>
  <c r="D34" i="6"/>
  <c r="D35" i="6"/>
  <c r="D36" i="6"/>
  <c r="D37" i="6"/>
  <c r="D38" i="6"/>
  <c r="D39" i="6"/>
  <c r="D40" i="6"/>
  <c r="D41" i="6"/>
  <c r="D42" i="6"/>
  <c r="D43" i="6"/>
  <c r="D44" i="6"/>
  <c r="D45" i="6"/>
  <c r="D46" i="6"/>
  <c r="D47" i="6"/>
  <c r="D48" i="6"/>
  <c r="D49" i="6"/>
  <c r="D50" i="6"/>
  <c r="D51" i="6"/>
  <c r="D52" i="6"/>
  <c r="D53" i="6"/>
  <c r="D54" i="6"/>
  <c r="D55" i="6"/>
  <c r="D56" i="6"/>
  <c r="D57" i="6"/>
  <c r="D58" i="6"/>
  <c r="D59" i="6"/>
  <c r="D60" i="6"/>
  <c r="D61" i="6"/>
  <c r="D62" i="6"/>
  <c r="D63" i="6"/>
  <c r="D64" i="6"/>
  <c r="D65" i="6"/>
  <c r="D66" i="6"/>
  <c r="D67" i="6"/>
  <c r="D68" i="6"/>
  <c r="D69" i="6"/>
  <c r="D70" i="6"/>
  <c r="D71" i="6"/>
  <c r="D72" i="6"/>
  <c r="D73" i="6"/>
  <c r="D74" i="6"/>
  <c r="D75" i="6"/>
  <c r="D76" i="6"/>
  <c r="D77" i="6"/>
  <c r="D78" i="6"/>
  <c r="D79" i="6"/>
  <c r="D80" i="6"/>
  <c r="D81" i="6"/>
  <c r="D82" i="6"/>
  <c r="D83" i="6"/>
  <c r="D84" i="6"/>
  <c r="D85" i="6"/>
  <c r="D86" i="6"/>
  <c r="D87" i="6"/>
  <c r="D88" i="6"/>
  <c r="D89" i="6"/>
  <c r="D90" i="6"/>
  <c r="D91" i="6"/>
  <c r="D92" i="6"/>
  <c r="D93" i="6"/>
  <c r="D94" i="6"/>
  <c r="D95" i="6"/>
  <c r="D96" i="6"/>
  <c r="D97" i="6"/>
  <c r="D98" i="6"/>
  <c r="D99" i="6"/>
  <c r="D100" i="6"/>
  <c r="D101" i="6"/>
  <c r="D102" i="6"/>
  <c r="D103" i="6"/>
  <c r="D104" i="6"/>
  <c r="D105" i="6"/>
  <c r="D106" i="6"/>
  <c r="D107" i="6"/>
  <c r="D108" i="6"/>
  <c r="D109" i="6"/>
  <c r="D110" i="6"/>
  <c r="D111" i="6"/>
  <c r="D112" i="6"/>
  <c r="D113" i="6"/>
  <c r="D114" i="6"/>
  <c r="D115" i="6"/>
  <c r="D116" i="6"/>
  <c r="D117" i="6"/>
  <c r="D118" i="6"/>
  <c r="D119" i="6"/>
  <c r="D120" i="6"/>
  <c r="D121" i="6"/>
  <c r="D122" i="6"/>
  <c r="D123" i="6"/>
  <c r="D124" i="6"/>
  <c r="D125" i="6"/>
  <c r="D126" i="6"/>
  <c r="D127" i="6"/>
  <c r="D128" i="6"/>
  <c r="D129" i="6"/>
  <c r="D130" i="6"/>
  <c r="D131" i="6"/>
  <c r="D132" i="6"/>
  <c r="D133" i="6"/>
  <c r="D134" i="6"/>
  <c r="D135" i="6"/>
  <c r="D136" i="6"/>
  <c r="D137" i="6"/>
  <c r="D138" i="6"/>
  <c r="D139" i="6"/>
  <c r="D140" i="6"/>
  <c r="D141" i="6"/>
  <c r="D142" i="6"/>
  <c r="D143" i="6"/>
  <c r="D144" i="6"/>
  <c r="D145" i="6"/>
  <c r="D146" i="6"/>
  <c r="D147" i="6"/>
  <c r="D148" i="6"/>
  <c r="D149" i="6"/>
  <c r="D150" i="6"/>
  <c r="D151" i="6"/>
  <c r="D152" i="6"/>
  <c r="D153" i="6"/>
  <c r="D154" i="6"/>
  <c r="D155" i="6"/>
  <c r="D156" i="6"/>
  <c r="D157" i="6"/>
  <c r="D158" i="6"/>
  <c r="D159" i="6"/>
  <c r="D160" i="6"/>
  <c r="D161" i="6"/>
  <c r="D162" i="6"/>
  <c r="D163" i="6"/>
  <c r="D164" i="6"/>
  <c r="D165" i="6"/>
  <c r="D166" i="6"/>
  <c r="D167" i="6"/>
  <c r="D168" i="6"/>
  <c r="D169" i="6"/>
  <c r="D170" i="6"/>
  <c r="D171" i="6"/>
  <c r="D172" i="6"/>
  <c r="D173" i="6"/>
  <c r="D174" i="6"/>
  <c r="D175" i="6"/>
  <c r="D176" i="6"/>
  <c r="D177" i="6"/>
  <c r="D178" i="6"/>
  <c r="D179" i="6"/>
  <c r="D180" i="6"/>
  <c r="D181" i="6"/>
  <c r="D182" i="6"/>
  <c r="D183" i="6"/>
  <c r="D184" i="6"/>
  <c r="D185" i="6"/>
  <c r="D186" i="6"/>
  <c r="D187" i="6"/>
  <c r="D188" i="6"/>
  <c r="D189" i="6"/>
  <c r="D190" i="6"/>
  <c r="D191" i="6"/>
  <c r="D192" i="6"/>
  <c r="D193" i="6"/>
  <c r="D194" i="6"/>
  <c r="D195" i="6"/>
  <c r="D196" i="6"/>
  <c r="D197" i="6"/>
  <c r="D198" i="6"/>
  <c r="D199" i="6"/>
  <c r="D200" i="6"/>
  <c r="D201" i="6"/>
  <c r="D202" i="6"/>
  <c r="D203" i="6"/>
  <c r="D204" i="6"/>
  <c r="D205" i="6"/>
  <c r="D206" i="6"/>
  <c r="D207" i="6"/>
  <c r="D208" i="6"/>
  <c r="D209" i="6"/>
  <c r="D210" i="6"/>
  <c r="D211" i="6"/>
  <c r="D212" i="6"/>
  <c r="D213" i="6"/>
  <c r="D214" i="6"/>
  <c r="D215" i="6"/>
  <c r="D216" i="6"/>
  <c r="D217" i="6"/>
  <c r="D218" i="6"/>
  <c r="D219" i="6"/>
  <c r="D220" i="6"/>
  <c r="F163" i="16" l="1"/>
  <c r="G163" i="16" s="1"/>
  <c r="E172" i="16"/>
  <c r="F172" i="16" s="1"/>
  <c r="O81" i="16"/>
  <c r="O73" i="16"/>
  <c r="S73" i="16" s="1"/>
  <c r="AB73" i="16" s="1"/>
  <c r="E175" i="16"/>
  <c r="E78" i="16"/>
  <c r="F78" i="16" s="1"/>
  <c r="E164" i="16"/>
  <c r="F164" i="16" s="1"/>
  <c r="E169" i="16"/>
  <c r="F169" i="16" s="1"/>
  <c r="E81" i="16"/>
  <c r="O117" i="16"/>
  <c r="E174" i="16"/>
  <c r="F174" i="16" s="1"/>
  <c r="O71" i="16"/>
  <c r="O80" i="16"/>
  <c r="E173" i="16"/>
  <c r="F173" i="16" s="1"/>
  <c r="O27" i="16"/>
  <c r="S27" i="16" s="1"/>
  <c r="E71" i="16"/>
  <c r="F71" i="16" s="1"/>
  <c r="E171" i="16"/>
  <c r="F171" i="16" s="1"/>
  <c r="E72" i="16"/>
  <c r="F72" i="16" s="1"/>
  <c r="E166" i="16"/>
  <c r="F166" i="16" s="1"/>
  <c r="R123" i="16"/>
  <c r="N29" i="16"/>
  <c r="O29" i="16" s="1"/>
  <c r="S29" i="16" s="1"/>
  <c r="D31" i="16"/>
  <c r="R34" i="16"/>
  <c r="N37" i="16"/>
  <c r="O37" i="16" s="1"/>
  <c r="S37" i="16" s="1"/>
  <c r="D39" i="16"/>
  <c r="B25" i="18" s="1"/>
  <c r="E76" i="16"/>
  <c r="F76" i="16" s="1"/>
  <c r="D119" i="16"/>
  <c r="D123" i="16"/>
  <c r="D127" i="16"/>
  <c r="R33" i="16"/>
  <c r="D28" i="16"/>
  <c r="E28" i="16" s="1"/>
  <c r="F28" i="16" s="1"/>
  <c r="O74" i="16"/>
  <c r="R29" i="16"/>
  <c r="N32" i="16"/>
  <c r="O32" i="16" s="1"/>
  <c r="D34" i="16"/>
  <c r="E34" i="16" s="1"/>
  <c r="F34" i="16" s="1"/>
  <c r="R37" i="16"/>
  <c r="E74" i="16"/>
  <c r="F74" i="16" s="1"/>
  <c r="D30" i="16"/>
  <c r="E30" i="16" s="1"/>
  <c r="F30" i="16" s="1"/>
  <c r="R119" i="16"/>
  <c r="R127" i="16"/>
  <c r="D29" i="16"/>
  <c r="R32" i="16"/>
  <c r="N35" i="16"/>
  <c r="O35" i="16" s="1"/>
  <c r="S35" i="16" s="1"/>
  <c r="D37" i="16"/>
  <c r="E37" i="16" s="1"/>
  <c r="F37" i="16" s="1"/>
  <c r="E79" i="16"/>
  <c r="F79" i="16" s="1"/>
  <c r="N120" i="16"/>
  <c r="O120" i="16" s="1"/>
  <c r="N124" i="16"/>
  <c r="O124" i="16" s="1"/>
  <c r="N128" i="16"/>
  <c r="O128" i="16" s="1"/>
  <c r="R31" i="16"/>
  <c r="D36" i="16"/>
  <c r="E36" i="16" s="1"/>
  <c r="F36" i="16" s="1"/>
  <c r="N30" i="16"/>
  <c r="O30" i="16" s="1"/>
  <c r="S30" i="16" s="1"/>
  <c r="D32" i="16"/>
  <c r="E31" i="16"/>
  <c r="F31" i="16" s="1"/>
  <c r="R35" i="16"/>
  <c r="N38" i="16"/>
  <c r="O38" i="16" s="1"/>
  <c r="E77" i="16"/>
  <c r="F77" i="16" s="1"/>
  <c r="R120" i="16"/>
  <c r="R124" i="16"/>
  <c r="R128" i="16"/>
  <c r="N33" i="16"/>
  <c r="O33" i="16" s="1"/>
  <c r="S33" i="16" s="1"/>
  <c r="D35" i="16"/>
  <c r="E35" i="16" s="1"/>
  <c r="F35" i="16" s="1"/>
  <c r="E73" i="16"/>
  <c r="F73" i="16" s="1"/>
  <c r="E75" i="16"/>
  <c r="F75" i="16" s="1"/>
  <c r="O82" i="16"/>
  <c r="D122" i="16"/>
  <c r="N31" i="16"/>
  <c r="O31" i="16" s="1"/>
  <c r="S31" i="16" s="1"/>
  <c r="D33" i="16"/>
  <c r="E32" i="16"/>
  <c r="F32" i="16" s="1"/>
  <c r="R36" i="16"/>
  <c r="O76" i="16"/>
  <c r="E80" i="16"/>
  <c r="F80" i="16" s="1"/>
  <c r="E82" i="16"/>
  <c r="N119" i="16"/>
  <c r="O119" i="16" s="1"/>
  <c r="N123" i="16"/>
  <c r="O123" i="16" s="1"/>
  <c r="N127" i="16"/>
  <c r="O127" i="16" s="1"/>
  <c r="S166" i="16"/>
  <c r="AB166" i="16" s="1"/>
  <c r="S169" i="16"/>
  <c r="AB169" i="16" s="1"/>
  <c r="S171" i="16"/>
  <c r="AB171" i="16" s="1"/>
  <c r="S173" i="16"/>
  <c r="AB173" i="16" s="1"/>
  <c r="S168" i="16"/>
  <c r="AB168" i="16" s="1"/>
  <c r="S164" i="16"/>
  <c r="AB164" i="16" s="1"/>
  <c r="S165" i="16"/>
  <c r="AB165" i="16" s="1"/>
  <c r="S172" i="16"/>
  <c r="AB172" i="16" s="1"/>
  <c r="S163" i="16"/>
  <c r="AB163" i="16" s="1"/>
  <c r="AC163" i="16" s="1"/>
  <c r="E117" i="16"/>
  <c r="F117" i="16" s="1"/>
  <c r="S175" i="16"/>
  <c r="AB175" i="16" s="1"/>
  <c r="S170" i="16"/>
  <c r="AB170" i="16" s="1"/>
  <c r="S174" i="16"/>
  <c r="AB174" i="16" s="1"/>
  <c r="S167" i="16"/>
  <c r="AB167" i="16" s="1"/>
  <c r="D126" i="16"/>
  <c r="E126" i="16" s="1"/>
  <c r="F126" i="16" s="1"/>
  <c r="D121" i="16"/>
  <c r="D125" i="16"/>
  <c r="N126" i="16"/>
  <c r="O126" i="16" s="1"/>
  <c r="N122" i="16"/>
  <c r="O122" i="16" s="1"/>
  <c r="N118" i="16"/>
  <c r="O118" i="16" s="1"/>
  <c r="R126" i="16"/>
  <c r="R122" i="16"/>
  <c r="R118" i="16"/>
  <c r="D38" i="16"/>
  <c r="E38" i="16" s="1"/>
  <c r="F38" i="16" s="1"/>
  <c r="D129" i="16"/>
  <c r="D124" i="16"/>
  <c r="D120" i="16"/>
  <c r="N129" i="16"/>
  <c r="O129" i="16" s="1"/>
  <c r="N125" i="16"/>
  <c r="O125" i="16" s="1"/>
  <c r="N121" i="16"/>
  <c r="O121" i="16" s="1"/>
  <c r="R129" i="16"/>
  <c r="R125" i="16"/>
  <c r="R121" i="16"/>
  <c r="D128" i="16"/>
  <c r="D118" i="16"/>
  <c r="N28" i="16"/>
  <c r="O28" i="16" s="1"/>
  <c r="N79" i="16"/>
  <c r="O79" i="16" s="1"/>
  <c r="N34" i="16"/>
  <c r="O34" i="16" s="1"/>
  <c r="R38" i="16"/>
  <c r="R30" i="16"/>
  <c r="N72" i="16"/>
  <c r="O72" i="16" s="1"/>
  <c r="N36" i="16"/>
  <c r="O36" i="16" s="1"/>
  <c r="N77" i="16"/>
  <c r="O77" i="16" s="1"/>
  <c r="R28" i="16"/>
  <c r="N75" i="16"/>
  <c r="O75" i="16" s="1"/>
  <c r="F82" i="16" l="1"/>
  <c r="G82" i="16" s="1"/>
  <c r="B31" i="18"/>
  <c r="J21" i="18" s="1"/>
  <c r="N21" i="18" s="1"/>
  <c r="Q21" i="18" s="1"/>
  <c r="T21" i="18" s="1"/>
  <c r="Z21" i="18" s="1"/>
  <c r="AC73" i="16"/>
  <c r="G81" i="16"/>
  <c r="F81" i="16"/>
  <c r="F175" i="16"/>
  <c r="G175" i="16" s="1"/>
  <c r="B65" i="18"/>
  <c r="J55" i="18" s="1"/>
  <c r="L55" i="18" s="1"/>
  <c r="O55" i="18" s="1"/>
  <c r="R55" i="18" s="1"/>
  <c r="V55" i="18" s="1"/>
  <c r="AB55" i="18" s="1"/>
  <c r="AC170" i="16"/>
  <c r="B61" i="18"/>
  <c r="J51" i="18" s="1"/>
  <c r="L51" i="18" s="1"/>
  <c r="O51" i="18" s="1"/>
  <c r="R51" i="18" s="1"/>
  <c r="V51" i="18" s="1"/>
  <c r="AB51" i="18" s="1"/>
  <c r="AC166" i="16"/>
  <c r="B70" i="18"/>
  <c r="AC175" i="16"/>
  <c r="B64" i="18"/>
  <c r="J54" i="18" s="1"/>
  <c r="L54" i="18" s="1"/>
  <c r="O54" i="18" s="1"/>
  <c r="R54" i="18" s="1"/>
  <c r="V54" i="18" s="1"/>
  <c r="AB54" i="18" s="1"/>
  <c r="AC169" i="16"/>
  <c r="B60" i="18"/>
  <c r="J50" i="18" s="1"/>
  <c r="M50" i="18" s="1"/>
  <c r="P50" i="18" s="1"/>
  <c r="S50" i="18" s="1"/>
  <c r="X50" i="18" s="1"/>
  <c r="AC165" i="16"/>
  <c r="B62" i="18"/>
  <c r="J52" i="18" s="1"/>
  <c r="N52" i="18" s="1"/>
  <c r="Q52" i="18" s="1"/>
  <c r="T52" i="18" s="1"/>
  <c r="Z52" i="18" s="1"/>
  <c r="AC167" i="16"/>
  <c r="B59" i="18"/>
  <c r="J49" i="18" s="1"/>
  <c r="M49" i="18" s="1"/>
  <c r="P49" i="18" s="1"/>
  <c r="S49" i="18" s="1"/>
  <c r="X49" i="18" s="1"/>
  <c r="AC164" i="16"/>
  <c r="B68" i="18"/>
  <c r="J58" i="18" s="1"/>
  <c r="N58" i="18" s="1"/>
  <c r="Q58" i="18" s="1"/>
  <c r="T58" i="18" s="1"/>
  <c r="Z58" i="18" s="1"/>
  <c r="AC173" i="16"/>
  <c r="B66" i="18"/>
  <c r="J56" i="18" s="1"/>
  <c r="N56" i="18" s="1"/>
  <c r="Q56" i="18" s="1"/>
  <c r="T56" i="18" s="1"/>
  <c r="Z56" i="18" s="1"/>
  <c r="AC171" i="16"/>
  <c r="B67" i="18"/>
  <c r="J57" i="18" s="1"/>
  <c r="M57" i="18" s="1"/>
  <c r="P57" i="18" s="1"/>
  <c r="S57" i="18" s="1"/>
  <c r="X57" i="18" s="1"/>
  <c r="AD57" i="18" s="1"/>
  <c r="AC172" i="16"/>
  <c r="B69" i="18"/>
  <c r="J59" i="18" s="1"/>
  <c r="L59" i="18" s="1"/>
  <c r="O59" i="18" s="1"/>
  <c r="R59" i="18" s="1"/>
  <c r="V59" i="18" s="1"/>
  <c r="AB59" i="18" s="1"/>
  <c r="AC174" i="16"/>
  <c r="B63" i="18"/>
  <c r="J53" i="18" s="1"/>
  <c r="L53" i="18" s="1"/>
  <c r="O53" i="18" s="1"/>
  <c r="R53" i="18" s="1"/>
  <c r="V53" i="18" s="1"/>
  <c r="AB53" i="18" s="1"/>
  <c r="AC168" i="16"/>
  <c r="G77" i="16"/>
  <c r="L77" i="16"/>
  <c r="M77" i="16" s="1"/>
  <c r="J77" i="16"/>
  <c r="K77" i="16" s="1"/>
  <c r="G80" i="16"/>
  <c r="L80" i="16"/>
  <c r="M80" i="16" s="1"/>
  <c r="J80" i="16"/>
  <c r="K80" i="16" s="1"/>
  <c r="G78" i="16"/>
  <c r="J78" i="16"/>
  <c r="K78" i="16" s="1"/>
  <c r="L78" i="16"/>
  <c r="M78" i="16" s="1"/>
  <c r="G73" i="16"/>
  <c r="L73" i="16"/>
  <c r="M73" i="16" s="1"/>
  <c r="J73" i="16"/>
  <c r="K73" i="16" s="1"/>
  <c r="G75" i="16"/>
  <c r="L75" i="16"/>
  <c r="M75" i="16" s="1"/>
  <c r="J75" i="16"/>
  <c r="K75" i="16" s="1"/>
  <c r="G74" i="16"/>
  <c r="J74" i="16"/>
  <c r="K74" i="16" s="1"/>
  <c r="L74" i="16"/>
  <c r="M74" i="16" s="1"/>
  <c r="G79" i="16"/>
  <c r="L79" i="16"/>
  <c r="M79" i="16" s="1"/>
  <c r="J79" i="16"/>
  <c r="K79" i="16" s="1"/>
  <c r="L76" i="16"/>
  <c r="M76" i="16" s="1"/>
  <c r="J76" i="16"/>
  <c r="K76" i="16" s="1"/>
  <c r="G72" i="16"/>
  <c r="L72" i="16"/>
  <c r="M72" i="16" s="1"/>
  <c r="J72" i="16"/>
  <c r="K72" i="16" s="1"/>
  <c r="G71" i="16"/>
  <c r="J71" i="16"/>
  <c r="L71" i="16"/>
  <c r="L164" i="16"/>
  <c r="J164" i="16"/>
  <c r="G172" i="16"/>
  <c r="J172" i="16"/>
  <c r="K172" i="16" s="1"/>
  <c r="L172" i="16"/>
  <c r="M172" i="16" s="1"/>
  <c r="G169" i="16"/>
  <c r="L169" i="16"/>
  <c r="M169" i="16" s="1"/>
  <c r="J169" i="16"/>
  <c r="K169" i="16" s="1"/>
  <c r="G168" i="16"/>
  <c r="L168" i="16"/>
  <c r="M168" i="16" s="1"/>
  <c r="J168" i="16"/>
  <c r="K168" i="16" s="1"/>
  <c r="G170" i="16"/>
  <c r="L170" i="16"/>
  <c r="M170" i="16" s="1"/>
  <c r="J170" i="16"/>
  <c r="K170" i="16" s="1"/>
  <c r="G165" i="16"/>
  <c r="J165" i="16"/>
  <c r="K165" i="16" s="1"/>
  <c r="L165" i="16"/>
  <c r="M165" i="16" s="1"/>
  <c r="G173" i="16"/>
  <c r="J173" i="16"/>
  <c r="K173" i="16" s="1"/>
  <c r="L173" i="16"/>
  <c r="M173" i="16" s="1"/>
  <c r="G167" i="16"/>
  <c r="L167" i="16"/>
  <c r="M167" i="16" s="1"/>
  <c r="J167" i="16"/>
  <c r="K167" i="16" s="1"/>
  <c r="G166" i="16"/>
  <c r="J166" i="16"/>
  <c r="K166" i="16" s="1"/>
  <c r="L166" i="16"/>
  <c r="M166" i="16" s="1"/>
  <c r="G174" i="16"/>
  <c r="J174" i="16"/>
  <c r="K174" i="16" s="1"/>
  <c r="L174" i="16"/>
  <c r="M174" i="16" s="1"/>
  <c r="N53" i="18"/>
  <c r="Q53" i="18" s="1"/>
  <c r="T53" i="18" s="1"/>
  <c r="Z53" i="18" s="1"/>
  <c r="N54" i="18"/>
  <c r="Q54" i="18" s="1"/>
  <c r="T54" i="18" s="1"/>
  <c r="Z54" i="18" s="1"/>
  <c r="M54" i="18"/>
  <c r="P54" i="18" s="1"/>
  <c r="S54" i="18" s="1"/>
  <c r="X54" i="18" s="1"/>
  <c r="AD54" i="18" s="1"/>
  <c r="M56" i="18"/>
  <c r="P56" i="18" s="1"/>
  <c r="S56" i="18" s="1"/>
  <c r="X56" i="18" s="1"/>
  <c r="AD56" i="18" s="1"/>
  <c r="N51" i="18"/>
  <c r="Q51" i="18" s="1"/>
  <c r="T51" i="18" s="1"/>
  <c r="Z51" i="18" s="1"/>
  <c r="M51" i="18"/>
  <c r="P51" i="18" s="1"/>
  <c r="S51" i="18" s="1"/>
  <c r="X51" i="18" s="1"/>
  <c r="AD51" i="18" s="1"/>
  <c r="N55" i="18"/>
  <c r="Q55" i="18" s="1"/>
  <c r="T55" i="18" s="1"/>
  <c r="Z55" i="18" s="1"/>
  <c r="M52" i="18"/>
  <c r="P52" i="18" s="1"/>
  <c r="S52" i="18" s="1"/>
  <c r="X52" i="18" s="1"/>
  <c r="AD52" i="18" s="1"/>
  <c r="N50" i="18"/>
  <c r="Q50" i="18" s="1"/>
  <c r="T50" i="18" s="1"/>
  <c r="Z50" i="18" s="1"/>
  <c r="L50" i="18"/>
  <c r="O50" i="18" s="1"/>
  <c r="R50" i="18" s="1"/>
  <c r="V50" i="18" s="1"/>
  <c r="AB50" i="18" s="1"/>
  <c r="E124" i="16"/>
  <c r="F124" i="16" s="1"/>
  <c r="E121" i="16"/>
  <c r="F121" i="16" s="1"/>
  <c r="U35" i="16"/>
  <c r="Z35" i="16"/>
  <c r="AA35" i="16" s="1"/>
  <c r="X35" i="16"/>
  <c r="Y35" i="16" s="1"/>
  <c r="U37" i="16"/>
  <c r="Z37" i="16"/>
  <c r="AA37" i="16" s="1"/>
  <c r="X37" i="16"/>
  <c r="Y37" i="16" s="1"/>
  <c r="U29" i="16"/>
  <c r="Z29" i="16"/>
  <c r="AA29" i="16" s="1"/>
  <c r="X29" i="16"/>
  <c r="Y29" i="16" s="1"/>
  <c r="U27" i="16"/>
  <c r="Z27" i="16"/>
  <c r="AA27" i="16" s="1"/>
  <c r="X27" i="16"/>
  <c r="Y27" i="16" s="1"/>
  <c r="G30" i="16"/>
  <c r="L30" i="16"/>
  <c r="M30" i="16" s="1"/>
  <c r="J30" i="16"/>
  <c r="K30" i="16" s="1"/>
  <c r="G28" i="16"/>
  <c r="J28" i="16"/>
  <c r="K28" i="16" s="1"/>
  <c r="L28" i="16"/>
  <c r="M28" i="16" s="1"/>
  <c r="G35" i="16"/>
  <c r="J35" i="16"/>
  <c r="K35" i="16" s="1"/>
  <c r="L35" i="16"/>
  <c r="M35" i="16" s="1"/>
  <c r="L27" i="16"/>
  <c r="J27" i="16"/>
  <c r="G32" i="16"/>
  <c r="J32" i="16"/>
  <c r="K32" i="16" s="1"/>
  <c r="L32" i="16"/>
  <c r="M32" i="16" s="1"/>
  <c r="G37" i="16"/>
  <c r="J37" i="16"/>
  <c r="K37" i="16" s="1"/>
  <c r="L37" i="16"/>
  <c r="M37" i="16" s="1"/>
  <c r="G34" i="16"/>
  <c r="J34" i="16"/>
  <c r="K34" i="16" s="1"/>
  <c r="L34" i="16"/>
  <c r="M34" i="16" s="1"/>
  <c r="G36" i="16"/>
  <c r="J36" i="16"/>
  <c r="K36" i="16" s="1"/>
  <c r="L36" i="16"/>
  <c r="M36" i="16" s="1"/>
  <c r="G31" i="16"/>
  <c r="J31" i="16"/>
  <c r="K31" i="16" s="1"/>
  <c r="L31" i="16"/>
  <c r="M31" i="16" s="1"/>
  <c r="E119" i="16"/>
  <c r="F119" i="16" s="1"/>
  <c r="E125" i="16"/>
  <c r="F125" i="16" s="1"/>
  <c r="E128" i="16"/>
  <c r="F128" i="16" s="1"/>
  <c r="E129" i="16"/>
  <c r="AB31" i="16"/>
  <c r="E127" i="16"/>
  <c r="F127" i="16" s="1"/>
  <c r="E120" i="16"/>
  <c r="F120" i="16" s="1"/>
  <c r="E118" i="16"/>
  <c r="F118" i="16" s="1"/>
  <c r="E122" i="16"/>
  <c r="F122" i="16" s="1"/>
  <c r="AB29" i="16"/>
  <c r="AB33" i="16"/>
  <c r="AB30" i="16"/>
  <c r="AB37" i="16"/>
  <c r="E29" i="16"/>
  <c r="F29" i="16" s="1"/>
  <c r="E33" i="16"/>
  <c r="F33" i="16" s="1"/>
  <c r="AB27" i="16"/>
  <c r="AB35" i="16"/>
  <c r="G117" i="16"/>
  <c r="E123" i="16"/>
  <c r="F123" i="16" s="1"/>
  <c r="G27" i="16"/>
  <c r="U175" i="16"/>
  <c r="G76" i="16"/>
  <c r="U163" i="16"/>
  <c r="S128" i="16"/>
  <c r="AB128" i="16" s="1"/>
  <c r="S127" i="16"/>
  <c r="AB127" i="16" s="1"/>
  <c r="S119" i="16"/>
  <c r="S124" i="16"/>
  <c r="S123" i="16"/>
  <c r="AB123" i="16" s="1"/>
  <c r="S126" i="16"/>
  <c r="S120" i="16"/>
  <c r="AB120" i="16" s="1"/>
  <c r="U73" i="16"/>
  <c r="S38" i="16"/>
  <c r="G164" i="16"/>
  <c r="S117" i="16"/>
  <c r="AB117" i="16" s="1"/>
  <c r="AC117" i="16" s="1"/>
  <c r="S125" i="16"/>
  <c r="S118" i="16"/>
  <c r="S122" i="16"/>
  <c r="AB122" i="16" s="1"/>
  <c r="S129" i="16"/>
  <c r="AB129" i="16" s="1"/>
  <c r="S121" i="16"/>
  <c r="S80" i="16"/>
  <c r="AB80" i="16" s="1"/>
  <c r="S81" i="16"/>
  <c r="AB81" i="16" s="1"/>
  <c r="S71" i="16"/>
  <c r="S74" i="16"/>
  <c r="AB74" i="16" s="1"/>
  <c r="S32" i="16"/>
  <c r="AB32" i="16" s="1"/>
  <c r="S82" i="16"/>
  <c r="AB82" i="16" s="1"/>
  <c r="AC82" i="16" s="1"/>
  <c r="S72" i="16"/>
  <c r="S36" i="16"/>
  <c r="AB36" i="16" s="1"/>
  <c r="S28" i="16"/>
  <c r="S76" i="16"/>
  <c r="AB76" i="16" s="1"/>
  <c r="S75" i="16"/>
  <c r="AB75" i="16" s="1"/>
  <c r="S79" i="16"/>
  <c r="AB79" i="16" s="1"/>
  <c r="S34" i="16"/>
  <c r="S77" i="16"/>
  <c r="AB77" i="16" s="1"/>
  <c r="S78" i="16"/>
  <c r="AB78" i="16" s="1"/>
  <c r="L49" i="18" l="1"/>
  <c r="O49" i="18" s="1"/>
  <c r="R49" i="18" s="1"/>
  <c r="V49" i="18" s="1"/>
  <c r="M53" i="18"/>
  <c r="P53" i="18" s="1"/>
  <c r="S53" i="18" s="1"/>
  <c r="X53" i="18" s="1"/>
  <c r="AD53" i="18" s="1"/>
  <c r="B53" i="18"/>
  <c r="J43" i="18" s="1"/>
  <c r="AC128" i="16"/>
  <c r="B52" i="18"/>
  <c r="J42" i="18" s="1"/>
  <c r="AC127" i="16"/>
  <c r="B54" i="18"/>
  <c r="AC129" i="16"/>
  <c r="B47" i="18"/>
  <c r="J37" i="18" s="1"/>
  <c r="N37" i="18" s="1"/>
  <c r="Q37" i="18" s="1"/>
  <c r="T37" i="18" s="1"/>
  <c r="Z37" i="18" s="1"/>
  <c r="AC122" i="16"/>
  <c r="B45" i="18"/>
  <c r="J35" i="18" s="1"/>
  <c r="AC120" i="16"/>
  <c r="B48" i="18"/>
  <c r="J38" i="18" s="1"/>
  <c r="AC123" i="16"/>
  <c r="F129" i="16"/>
  <c r="G129" i="16" s="1"/>
  <c r="B33" i="18"/>
  <c r="J23" i="18" s="1"/>
  <c r="AC75" i="16"/>
  <c r="M21" i="18"/>
  <c r="P21" i="18" s="1"/>
  <c r="S21" i="18" s="1"/>
  <c r="X21" i="18" s="1"/>
  <c r="AD21" i="18" s="1"/>
  <c r="L21" i="18"/>
  <c r="O21" i="18" s="1"/>
  <c r="R21" i="18" s="1"/>
  <c r="V21" i="18" s="1"/>
  <c r="AB21" i="18" s="1"/>
  <c r="B35" i="18"/>
  <c r="J25" i="18" s="1"/>
  <c r="AC77" i="16"/>
  <c r="B36" i="18"/>
  <c r="J26" i="18" s="1"/>
  <c r="N26" i="18" s="1"/>
  <c r="Q26" i="18" s="1"/>
  <c r="T26" i="18" s="1"/>
  <c r="Z26" i="18" s="1"/>
  <c r="AC78" i="16"/>
  <c r="B37" i="18"/>
  <c r="J27" i="18" s="1"/>
  <c r="AC79" i="16"/>
  <c r="B32" i="18"/>
  <c r="J22" i="18" s="1"/>
  <c r="AC74" i="16"/>
  <c r="B39" i="18"/>
  <c r="AC81" i="16"/>
  <c r="B34" i="18"/>
  <c r="J24" i="18" s="1"/>
  <c r="L24" i="18" s="1"/>
  <c r="O24" i="18" s="1"/>
  <c r="R24" i="18" s="1"/>
  <c r="V24" i="18" s="1"/>
  <c r="AB24" i="18" s="1"/>
  <c r="AC76" i="16"/>
  <c r="B38" i="18"/>
  <c r="J28" i="18" s="1"/>
  <c r="AC80" i="16"/>
  <c r="N49" i="18"/>
  <c r="Q49" i="18" s="1"/>
  <c r="T49" i="18" s="1"/>
  <c r="Z49" i="18" s="1"/>
  <c r="AA49" i="18" s="1"/>
  <c r="M59" i="18"/>
  <c r="P59" i="18" s="1"/>
  <c r="S59" i="18" s="1"/>
  <c r="X59" i="18" s="1"/>
  <c r="AD59" i="18" s="1"/>
  <c r="N59" i="18"/>
  <c r="Q59" i="18" s="1"/>
  <c r="T59" i="18" s="1"/>
  <c r="Z59" i="18" s="1"/>
  <c r="L58" i="18"/>
  <c r="O58" i="18" s="1"/>
  <c r="R58" i="18" s="1"/>
  <c r="V58" i="18" s="1"/>
  <c r="AB58" i="18" s="1"/>
  <c r="M58" i="18"/>
  <c r="P58" i="18" s="1"/>
  <c r="S58" i="18" s="1"/>
  <c r="X58" i="18" s="1"/>
  <c r="AD58" i="18" s="1"/>
  <c r="L56" i="18"/>
  <c r="O56" i="18" s="1"/>
  <c r="R56" i="18" s="1"/>
  <c r="V56" i="18" s="1"/>
  <c r="AB56" i="18" s="1"/>
  <c r="L52" i="18"/>
  <c r="O52" i="18" s="1"/>
  <c r="R52" i="18" s="1"/>
  <c r="V52" i="18" s="1"/>
  <c r="AB52" i="18" s="1"/>
  <c r="L57" i="18"/>
  <c r="O57" i="18" s="1"/>
  <c r="R57" i="18" s="1"/>
  <c r="V57" i="18" s="1"/>
  <c r="AB57" i="18" s="1"/>
  <c r="M55" i="18"/>
  <c r="P55" i="18" s="1"/>
  <c r="S55" i="18" s="1"/>
  <c r="X55" i="18" s="1"/>
  <c r="AD55" i="18" s="1"/>
  <c r="N57" i="18"/>
  <c r="Q57" i="18" s="1"/>
  <c r="T57" i="18" s="1"/>
  <c r="Z57" i="18" s="1"/>
  <c r="B13" i="18"/>
  <c r="J3" i="18" s="1"/>
  <c r="N3" i="18" s="1"/>
  <c r="AC27" i="16"/>
  <c r="B15" i="18"/>
  <c r="J5" i="18" s="1"/>
  <c r="N5" i="18" s="1"/>
  <c r="Q5" i="18" s="1"/>
  <c r="T5" i="18" s="1"/>
  <c r="Z5" i="18" s="1"/>
  <c r="AC29" i="16"/>
  <c r="B21" i="18"/>
  <c r="J11" i="18" s="1"/>
  <c r="N11" i="18" s="1"/>
  <c r="Q11" i="18" s="1"/>
  <c r="T11" i="18" s="1"/>
  <c r="Z11" i="18" s="1"/>
  <c r="AC35" i="16"/>
  <c r="B17" i="18"/>
  <c r="J7" i="18" s="1"/>
  <c r="M7" i="18" s="1"/>
  <c r="P7" i="18" s="1"/>
  <c r="S7" i="18" s="1"/>
  <c r="X7" i="18" s="1"/>
  <c r="AD7" i="18" s="1"/>
  <c r="AC31" i="16"/>
  <c r="AK31" i="16" s="1"/>
  <c r="B7" i="19" s="1"/>
  <c r="B23" i="18"/>
  <c r="J13" i="18" s="1"/>
  <c r="N13" i="18" s="1"/>
  <c r="Q13" i="18" s="1"/>
  <c r="T13" i="18" s="1"/>
  <c r="Z13" i="18" s="1"/>
  <c r="AC37" i="16"/>
  <c r="B16" i="18"/>
  <c r="J6" i="18" s="1"/>
  <c r="L6" i="18" s="1"/>
  <c r="O6" i="18" s="1"/>
  <c r="R6" i="18" s="1"/>
  <c r="V6" i="18" s="1"/>
  <c r="AB6" i="18" s="1"/>
  <c r="AC30" i="16"/>
  <c r="B22" i="18"/>
  <c r="J12" i="18" s="1"/>
  <c r="L12" i="18" s="1"/>
  <c r="O12" i="18" s="1"/>
  <c r="R12" i="18" s="1"/>
  <c r="V12" i="18" s="1"/>
  <c r="AB12" i="18" s="1"/>
  <c r="AC36" i="16"/>
  <c r="B18" i="18"/>
  <c r="J8" i="18" s="1"/>
  <c r="N8" i="18" s="1"/>
  <c r="Q8" i="18" s="1"/>
  <c r="T8" i="18" s="1"/>
  <c r="Z8" i="18" s="1"/>
  <c r="AC32" i="16"/>
  <c r="B19" i="18"/>
  <c r="J9" i="18" s="1"/>
  <c r="N9" i="18" s="1"/>
  <c r="Q9" i="18" s="1"/>
  <c r="T9" i="18" s="1"/>
  <c r="Z9" i="18" s="1"/>
  <c r="AC33" i="16"/>
  <c r="K164" i="16"/>
  <c r="M164" i="16"/>
  <c r="G121" i="16"/>
  <c r="J121" i="16"/>
  <c r="K121" i="16" s="1"/>
  <c r="L121" i="16"/>
  <c r="M121" i="16" s="1"/>
  <c r="G125" i="16"/>
  <c r="J125" i="16"/>
  <c r="K125" i="16" s="1"/>
  <c r="L125" i="16"/>
  <c r="M125" i="16" s="1"/>
  <c r="G126" i="16"/>
  <c r="L126" i="16"/>
  <c r="M126" i="16" s="1"/>
  <c r="J126" i="16"/>
  <c r="K126" i="16" s="1"/>
  <c r="G123" i="16"/>
  <c r="L123" i="16"/>
  <c r="M123" i="16" s="1"/>
  <c r="J123" i="16"/>
  <c r="K123" i="16" s="1"/>
  <c r="G119" i="16"/>
  <c r="L119" i="16"/>
  <c r="M119" i="16" s="1"/>
  <c r="J119" i="16"/>
  <c r="K119" i="16" s="1"/>
  <c r="G124" i="16"/>
  <c r="J124" i="16"/>
  <c r="K124" i="16" s="1"/>
  <c r="L124" i="16"/>
  <c r="M124" i="16" s="1"/>
  <c r="G127" i="16"/>
  <c r="L127" i="16"/>
  <c r="M127" i="16" s="1"/>
  <c r="J127" i="16"/>
  <c r="K127" i="16" s="1"/>
  <c r="G122" i="16"/>
  <c r="L122" i="16"/>
  <c r="M122" i="16" s="1"/>
  <c r="J122" i="16"/>
  <c r="K122" i="16" s="1"/>
  <c r="G118" i="16"/>
  <c r="J118" i="16"/>
  <c r="K118" i="16" s="1"/>
  <c r="L118" i="16"/>
  <c r="M118" i="16" s="1"/>
  <c r="G120" i="16"/>
  <c r="J120" i="16"/>
  <c r="K120" i="16" s="1"/>
  <c r="L120" i="16"/>
  <c r="M120" i="16" s="1"/>
  <c r="J128" i="16"/>
  <c r="K128" i="16" s="1"/>
  <c r="L128" i="16"/>
  <c r="M128" i="16" s="1"/>
  <c r="AD73" i="16"/>
  <c r="AG73" i="16"/>
  <c r="AH73" i="16" s="1"/>
  <c r="AI73" i="16"/>
  <c r="AJ73" i="16" s="1"/>
  <c r="B85" i="16"/>
  <c r="M71" i="16"/>
  <c r="D85" i="16" s="1"/>
  <c r="K71" i="16"/>
  <c r="F85" i="16" s="1"/>
  <c r="K27" i="16"/>
  <c r="M27" i="16"/>
  <c r="Y49" i="18"/>
  <c r="Y50" i="18" s="1"/>
  <c r="Y51" i="18" s="1"/>
  <c r="Y52" i="18" s="1"/>
  <c r="Y53" i="18" s="1"/>
  <c r="Y54" i="18" s="1"/>
  <c r="Y55" i="18" s="1"/>
  <c r="Y56" i="18" s="1"/>
  <c r="Y57" i="18" s="1"/>
  <c r="Y58" i="18" s="1"/>
  <c r="Y59" i="18" s="1"/>
  <c r="AD49" i="18"/>
  <c r="AE49" i="18" s="1"/>
  <c r="AA50" i="18"/>
  <c r="AA51" i="18" s="1"/>
  <c r="U173" i="16"/>
  <c r="Z173" i="16"/>
  <c r="AA173" i="16" s="1"/>
  <c r="X173" i="16"/>
  <c r="Y173" i="16" s="1"/>
  <c r="U168" i="16"/>
  <c r="X168" i="16"/>
  <c r="Y168" i="16" s="1"/>
  <c r="Z168" i="16"/>
  <c r="AA168" i="16" s="1"/>
  <c r="G171" i="16"/>
  <c r="B178" i="16" s="1"/>
  <c r="L171" i="16"/>
  <c r="M171" i="16" s="1"/>
  <c r="J171" i="16"/>
  <c r="K171" i="16" s="1"/>
  <c r="U169" i="16"/>
  <c r="X169" i="16"/>
  <c r="Y169" i="16" s="1"/>
  <c r="Z169" i="16"/>
  <c r="AA169" i="16" s="1"/>
  <c r="U172" i="16"/>
  <c r="Z172" i="16"/>
  <c r="AA172" i="16" s="1"/>
  <c r="X172" i="16"/>
  <c r="Y172" i="16" s="1"/>
  <c r="U165" i="16"/>
  <c r="Z165" i="16"/>
  <c r="AA165" i="16" s="1"/>
  <c r="X165" i="16"/>
  <c r="Y165" i="16" s="1"/>
  <c r="U174" i="16"/>
  <c r="Z174" i="16"/>
  <c r="AA174" i="16" s="1"/>
  <c r="X174" i="16"/>
  <c r="Y174" i="16" s="1"/>
  <c r="U164" i="16"/>
  <c r="Z164" i="16"/>
  <c r="AA164" i="16" s="1"/>
  <c r="X164" i="16"/>
  <c r="Y164" i="16" s="1"/>
  <c r="U167" i="16"/>
  <c r="Z167" i="16"/>
  <c r="AA167" i="16" s="1"/>
  <c r="X167" i="16"/>
  <c r="Y167" i="16" s="1"/>
  <c r="U170" i="16"/>
  <c r="X170" i="16"/>
  <c r="Y170" i="16" s="1"/>
  <c r="Z170" i="16"/>
  <c r="AA170" i="16" s="1"/>
  <c r="U166" i="16"/>
  <c r="Z166" i="16"/>
  <c r="AA166" i="16" s="1"/>
  <c r="X166" i="16"/>
  <c r="Y166" i="16" s="1"/>
  <c r="U171" i="16"/>
  <c r="Z171" i="16"/>
  <c r="AA171" i="16" s="1"/>
  <c r="X171" i="16"/>
  <c r="Y171" i="16" s="1"/>
  <c r="AD50" i="18"/>
  <c r="W49" i="18"/>
  <c r="AB49" i="18"/>
  <c r="AC49" i="18" s="1"/>
  <c r="U49" i="18"/>
  <c r="U50" i="18" s="1"/>
  <c r="U51" i="18" s="1"/>
  <c r="U52" i="18" s="1"/>
  <c r="U53" i="18" s="1"/>
  <c r="U54" i="18" s="1"/>
  <c r="U55" i="18" s="1"/>
  <c r="U56" i="18" s="1"/>
  <c r="U57" i="18" s="1"/>
  <c r="U58" i="18" s="1"/>
  <c r="U59" i="18" s="1"/>
  <c r="M26" i="18"/>
  <c r="P26" i="18" s="1"/>
  <c r="S26" i="18" s="1"/>
  <c r="X26" i="18" s="1"/>
  <c r="AD26" i="18" s="1"/>
  <c r="N27" i="18"/>
  <c r="Q27" i="18" s="1"/>
  <c r="T27" i="18" s="1"/>
  <c r="Z27" i="18" s="1"/>
  <c r="L27" i="18"/>
  <c r="O27" i="18" s="1"/>
  <c r="R27" i="18" s="1"/>
  <c r="V27" i="18" s="1"/>
  <c r="AB27" i="18" s="1"/>
  <c r="M27" i="18"/>
  <c r="P27" i="18" s="1"/>
  <c r="S27" i="18" s="1"/>
  <c r="X27" i="18" s="1"/>
  <c r="AD27" i="18" s="1"/>
  <c r="N22" i="18"/>
  <c r="Q22" i="18" s="1"/>
  <c r="T22" i="18" s="1"/>
  <c r="Z22" i="18" s="1"/>
  <c r="M22" i="18"/>
  <c r="P22" i="18" s="1"/>
  <c r="S22" i="18" s="1"/>
  <c r="X22" i="18" s="1"/>
  <c r="AD22" i="18" s="1"/>
  <c r="L22" i="18"/>
  <c r="O22" i="18" s="1"/>
  <c r="R22" i="18" s="1"/>
  <c r="V22" i="18" s="1"/>
  <c r="AB22" i="18" s="1"/>
  <c r="N42" i="18"/>
  <c r="Q42" i="18" s="1"/>
  <c r="T42" i="18" s="1"/>
  <c r="Z42" i="18" s="1"/>
  <c r="M42" i="18"/>
  <c r="P42" i="18" s="1"/>
  <c r="S42" i="18" s="1"/>
  <c r="X42" i="18" s="1"/>
  <c r="AD42" i="18" s="1"/>
  <c r="L42" i="18"/>
  <c r="O42" i="18" s="1"/>
  <c r="R42" i="18" s="1"/>
  <c r="V42" i="18" s="1"/>
  <c r="AB42" i="18" s="1"/>
  <c r="M13" i="18"/>
  <c r="P13" i="18" s="1"/>
  <c r="S13" i="18" s="1"/>
  <c r="X13" i="18" s="1"/>
  <c r="AD13" i="18" s="1"/>
  <c r="L13" i="18"/>
  <c r="O13" i="18" s="1"/>
  <c r="R13" i="18" s="1"/>
  <c r="V13" i="18" s="1"/>
  <c r="AB13" i="18" s="1"/>
  <c r="N23" i="18"/>
  <c r="Q23" i="18" s="1"/>
  <c r="T23" i="18" s="1"/>
  <c r="Z23" i="18" s="1"/>
  <c r="M23" i="18"/>
  <c r="P23" i="18" s="1"/>
  <c r="S23" i="18" s="1"/>
  <c r="X23" i="18" s="1"/>
  <c r="AD23" i="18" s="1"/>
  <c r="L23" i="18"/>
  <c r="O23" i="18" s="1"/>
  <c r="R23" i="18" s="1"/>
  <c r="V23" i="18" s="1"/>
  <c r="AB23" i="18" s="1"/>
  <c r="N43" i="18"/>
  <c r="Q43" i="18" s="1"/>
  <c r="T43" i="18" s="1"/>
  <c r="Z43" i="18" s="1"/>
  <c r="L43" i="18"/>
  <c r="O43" i="18" s="1"/>
  <c r="R43" i="18" s="1"/>
  <c r="V43" i="18" s="1"/>
  <c r="AB43" i="18" s="1"/>
  <c r="M43" i="18"/>
  <c r="P43" i="18" s="1"/>
  <c r="S43" i="18" s="1"/>
  <c r="X43" i="18" s="1"/>
  <c r="AD43" i="18" s="1"/>
  <c r="N38" i="18"/>
  <c r="Q38" i="18" s="1"/>
  <c r="T38" i="18" s="1"/>
  <c r="Z38" i="18" s="1"/>
  <c r="M38" i="18"/>
  <c r="P38" i="18" s="1"/>
  <c r="S38" i="18" s="1"/>
  <c r="X38" i="18" s="1"/>
  <c r="AD38" i="18" s="1"/>
  <c r="L38" i="18"/>
  <c r="O38" i="18" s="1"/>
  <c r="R38" i="18" s="1"/>
  <c r="V38" i="18" s="1"/>
  <c r="AB38" i="18" s="1"/>
  <c r="N25" i="18"/>
  <c r="Q25" i="18" s="1"/>
  <c r="T25" i="18" s="1"/>
  <c r="Z25" i="18" s="1"/>
  <c r="L25" i="18"/>
  <c r="O25" i="18" s="1"/>
  <c r="R25" i="18" s="1"/>
  <c r="V25" i="18" s="1"/>
  <c r="AB25" i="18" s="1"/>
  <c r="M25" i="18"/>
  <c r="P25" i="18" s="1"/>
  <c r="S25" i="18" s="1"/>
  <c r="X25" i="18" s="1"/>
  <c r="AD25" i="18" s="1"/>
  <c r="AA52" i="18"/>
  <c r="AA53" i="18" s="1"/>
  <c r="AA54" i="18" s="1"/>
  <c r="AA55" i="18" s="1"/>
  <c r="AA56" i="18" s="1"/>
  <c r="AA57" i="18" s="1"/>
  <c r="AA58" i="18" s="1"/>
  <c r="AA59" i="18" s="1"/>
  <c r="N35" i="18"/>
  <c r="Q35" i="18" s="1"/>
  <c r="T35" i="18" s="1"/>
  <c r="Z35" i="18" s="1"/>
  <c r="L35" i="18"/>
  <c r="O35" i="18" s="1"/>
  <c r="R35" i="18" s="1"/>
  <c r="V35" i="18" s="1"/>
  <c r="AB35" i="18" s="1"/>
  <c r="M35" i="18"/>
  <c r="P35" i="18" s="1"/>
  <c r="S35" i="18" s="1"/>
  <c r="X35" i="18" s="1"/>
  <c r="AD35" i="18" s="1"/>
  <c r="L3" i="18"/>
  <c r="O3" i="18" s="1"/>
  <c r="R3" i="18" s="1"/>
  <c r="V3" i="18" s="1"/>
  <c r="N24" i="18"/>
  <c r="Q24" i="18" s="1"/>
  <c r="T24" i="18" s="1"/>
  <c r="Z24" i="18" s="1"/>
  <c r="M24" i="18"/>
  <c r="P24" i="18" s="1"/>
  <c r="S24" i="18" s="1"/>
  <c r="X24" i="18" s="1"/>
  <c r="AD24" i="18" s="1"/>
  <c r="N28" i="18"/>
  <c r="Q28" i="18" s="1"/>
  <c r="T28" i="18" s="1"/>
  <c r="Z28" i="18" s="1"/>
  <c r="L28" i="18"/>
  <c r="O28" i="18" s="1"/>
  <c r="R28" i="18" s="1"/>
  <c r="V28" i="18" s="1"/>
  <c r="AB28" i="18" s="1"/>
  <c r="M28" i="18"/>
  <c r="P28" i="18" s="1"/>
  <c r="S28" i="18" s="1"/>
  <c r="X28" i="18" s="1"/>
  <c r="AD28" i="18" s="1"/>
  <c r="M11" i="18"/>
  <c r="P11" i="18" s="1"/>
  <c r="S11" i="18" s="1"/>
  <c r="X11" i="18" s="1"/>
  <c r="AD11" i="18" s="1"/>
  <c r="AD29" i="16"/>
  <c r="U30" i="16"/>
  <c r="Z30" i="16"/>
  <c r="AA30" i="16" s="1"/>
  <c r="X30" i="16"/>
  <c r="Y30" i="16" s="1"/>
  <c r="U31" i="16"/>
  <c r="Z31" i="16"/>
  <c r="AA31" i="16" s="1"/>
  <c r="X31" i="16"/>
  <c r="Y31" i="16" s="1"/>
  <c r="U33" i="16"/>
  <c r="Z33" i="16"/>
  <c r="AA33" i="16" s="1"/>
  <c r="X33" i="16"/>
  <c r="Y33" i="16" s="1"/>
  <c r="G33" i="16"/>
  <c r="L33" i="16"/>
  <c r="M33" i="16" s="1"/>
  <c r="J33" i="16"/>
  <c r="K33" i="16" s="1"/>
  <c r="G29" i="16"/>
  <c r="J29" i="16"/>
  <c r="K29" i="16" s="1"/>
  <c r="L29" i="16"/>
  <c r="M29" i="16" s="1"/>
  <c r="G38" i="16"/>
  <c r="L38" i="16"/>
  <c r="M38" i="16" s="1"/>
  <c r="J38" i="16"/>
  <c r="K38" i="16" s="1"/>
  <c r="U124" i="16"/>
  <c r="AB124" i="16"/>
  <c r="AC124" i="16" s="1"/>
  <c r="U125" i="16"/>
  <c r="AB125" i="16"/>
  <c r="U126" i="16"/>
  <c r="AB126" i="16"/>
  <c r="AB28" i="16"/>
  <c r="U121" i="16"/>
  <c r="AB121" i="16"/>
  <c r="U119" i="16"/>
  <c r="AB119" i="16"/>
  <c r="AC119" i="16" s="1"/>
  <c r="AB34" i="16"/>
  <c r="U118" i="16"/>
  <c r="AB118" i="16"/>
  <c r="AB38" i="16"/>
  <c r="AC38" i="16" s="1"/>
  <c r="U72" i="16"/>
  <c r="AB72" i="16"/>
  <c r="AC72" i="16" s="1"/>
  <c r="U71" i="16"/>
  <c r="AB71" i="16"/>
  <c r="AC71" i="16" s="1"/>
  <c r="AD129" i="16"/>
  <c r="U129" i="16"/>
  <c r="U127" i="16"/>
  <c r="U122" i="16"/>
  <c r="U123" i="16"/>
  <c r="U128" i="16"/>
  <c r="U120" i="16"/>
  <c r="AK73" i="16"/>
  <c r="AD82" i="16"/>
  <c r="U82" i="16"/>
  <c r="U80" i="16"/>
  <c r="U76" i="16"/>
  <c r="AK81" i="16"/>
  <c r="U81" i="16"/>
  <c r="U79" i="16"/>
  <c r="U78" i="16"/>
  <c r="U75" i="16"/>
  <c r="U74" i="16"/>
  <c r="AD117" i="16"/>
  <c r="U117" i="16"/>
  <c r="U77" i="16"/>
  <c r="G128" i="16"/>
  <c r="B50" i="18" l="1"/>
  <c r="J40" i="18" s="1"/>
  <c r="AC125" i="16"/>
  <c r="B43" i="18"/>
  <c r="J33" i="18" s="1"/>
  <c r="M33" i="18" s="1"/>
  <c r="P33" i="18" s="1"/>
  <c r="S33" i="18" s="1"/>
  <c r="X33" i="18" s="1"/>
  <c r="AC118" i="16"/>
  <c r="M37" i="18"/>
  <c r="P37" i="18" s="1"/>
  <c r="S37" i="18" s="1"/>
  <c r="X37" i="18" s="1"/>
  <c r="AD37" i="18" s="1"/>
  <c r="B51" i="18"/>
  <c r="J41" i="18" s="1"/>
  <c r="M41" i="18" s="1"/>
  <c r="P41" i="18" s="1"/>
  <c r="S41" i="18" s="1"/>
  <c r="X41" i="18" s="1"/>
  <c r="AD41" i="18" s="1"/>
  <c r="AC126" i="16"/>
  <c r="L37" i="18"/>
  <c r="O37" i="18" s="1"/>
  <c r="R37" i="18" s="1"/>
  <c r="V37" i="18" s="1"/>
  <c r="AB37" i="18" s="1"/>
  <c r="B46" i="18"/>
  <c r="J36" i="18" s="1"/>
  <c r="AC121" i="16"/>
  <c r="L26" i="18"/>
  <c r="O26" i="18" s="1"/>
  <c r="R26" i="18" s="1"/>
  <c r="V26" i="18" s="1"/>
  <c r="AB26" i="18" s="1"/>
  <c r="L11" i="18"/>
  <c r="O11" i="18" s="1"/>
  <c r="R11" i="18" s="1"/>
  <c r="V11" i="18" s="1"/>
  <c r="AB11" i="18" s="1"/>
  <c r="M12" i="18"/>
  <c r="P12" i="18" s="1"/>
  <c r="S12" i="18" s="1"/>
  <c r="X12" i="18" s="1"/>
  <c r="AD12" i="18" s="1"/>
  <c r="N12" i="18"/>
  <c r="Q12" i="18" s="1"/>
  <c r="T12" i="18" s="1"/>
  <c r="Z12" i="18" s="1"/>
  <c r="F178" i="16"/>
  <c r="D178" i="16"/>
  <c r="N7" i="18"/>
  <c r="Q7" i="18" s="1"/>
  <c r="T7" i="18" s="1"/>
  <c r="Z7" i="18" s="1"/>
  <c r="L7" i="18"/>
  <c r="O7" i="18" s="1"/>
  <c r="R7" i="18" s="1"/>
  <c r="V7" i="18" s="1"/>
  <c r="AB7" i="18" s="1"/>
  <c r="M8" i="18"/>
  <c r="P8" i="18" s="1"/>
  <c r="S8" i="18" s="1"/>
  <c r="X8" i="18" s="1"/>
  <c r="AD8" i="18" s="1"/>
  <c r="L8" i="18"/>
  <c r="O8" i="18" s="1"/>
  <c r="R8" i="18" s="1"/>
  <c r="V8" i="18" s="1"/>
  <c r="AB8" i="18" s="1"/>
  <c r="L5" i="18"/>
  <c r="O5" i="18" s="1"/>
  <c r="R5" i="18" s="1"/>
  <c r="V5" i="18" s="1"/>
  <c r="AB5" i="18" s="1"/>
  <c r="M6" i="18"/>
  <c r="P6" i="18" s="1"/>
  <c r="S6" i="18" s="1"/>
  <c r="X6" i="18" s="1"/>
  <c r="AD6" i="18" s="1"/>
  <c r="N6" i="18"/>
  <c r="Q6" i="18" s="1"/>
  <c r="T6" i="18" s="1"/>
  <c r="Z6" i="18" s="1"/>
  <c r="M5" i="18"/>
  <c r="P5" i="18" s="1"/>
  <c r="S5" i="18" s="1"/>
  <c r="X5" i="18" s="1"/>
  <c r="AD5" i="18" s="1"/>
  <c r="M3" i="18"/>
  <c r="P3" i="18" s="1"/>
  <c r="S3" i="18" s="1"/>
  <c r="X3" i="18" s="1"/>
  <c r="Y3" i="18" s="1"/>
  <c r="B20" i="18"/>
  <c r="J10" i="18" s="1"/>
  <c r="N10" i="18" s="1"/>
  <c r="Q10" i="18" s="1"/>
  <c r="T10" i="18" s="1"/>
  <c r="Z10" i="18" s="1"/>
  <c r="AC34" i="16"/>
  <c r="AK34" i="16" s="1"/>
  <c r="B10" i="19" s="1"/>
  <c r="M9" i="18"/>
  <c r="P9" i="18" s="1"/>
  <c r="S9" i="18" s="1"/>
  <c r="X9" i="18" s="1"/>
  <c r="AD9" i="18" s="1"/>
  <c r="B14" i="18"/>
  <c r="J4" i="18" s="1"/>
  <c r="L4" i="18" s="1"/>
  <c r="O4" i="18" s="1"/>
  <c r="R4" i="18" s="1"/>
  <c r="V4" i="18" s="1"/>
  <c r="AB4" i="18" s="1"/>
  <c r="AC28" i="16"/>
  <c r="L9" i="18"/>
  <c r="O9" i="18" s="1"/>
  <c r="R9" i="18" s="1"/>
  <c r="V9" i="18" s="1"/>
  <c r="AB9" i="18" s="1"/>
  <c r="D132" i="16"/>
  <c r="F132" i="16"/>
  <c r="B132" i="16"/>
  <c r="AG123" i="16"/>
  <c r="AH123" i="16" s="1"/>
  <c r="AI123" i="16"/>
  <c r="AJ123" i="16" s="1"/>
  <c r="AD120" i="16"/>
  <c r="AI120" i="16"/>
  <c r="AJ120" i="16" s="1"/>
  <c r="AG120" i="16"/>
  <c r="AH120" i="16" s="1"/>
  <c r="AK127" i="16"/>
  <c r="B48" i="19" s="1"/>
  <c r="AG127" i="16"/>
  <c r="AH127" i="16" s="1"/>
  <c r="AI127" i="16"/>
  <c r="AJ127" i="16" s="1"/>
  <c r="AD128" i="16"/>
  <c r="AI128" i="16"/>
  <c r="AJ128" i="16" s="1"/>
  <c r="AG128" i="16"/>
  <c r="AH128" i="16" s="1"/>
  <c r="AD122" i="16"/>
  <c r="AG122" i="16"/>
  <c r="AH122" i="16" s="1"/>
  <c r="AI122" i="16"/>
  <c r="AJ122" i="16" s="1"/>
  <c r="AD74" i="16"/>
  <c r="AI74" i="16"/>
  <c r="AJ74" i="16" s="1"/>
  <c r="AG74" i="16"/>
  <c r="AH74" i="16" s="1"/>
  <c r="AD78" i="16"/>
  <c r="AI78" i="16"/>
  <c r="AJ78" i="16" s="1"/>
  <c r="AG78" i="16"/>
  <c r="AH78" i="16" s="1"/>
  <c r="AD80" i="16"/>
  <c r="AG80" i="16"/>
  <c r="AH80" i="16" s="1"/>
  <c r="AI80" i="16"/>
  <c r="AJ80" i="16" s="1"/>
  <c r="AK77" i="16"/>
  <c r="B28" i="19" s="1"/>
  <c r="AG77" i="16"/>
  <c r="AH77" i="16" s="1"/>
  <c r="AI77" i="16"/>
  <c r="AJ77" i="16" s="1"/>
  <c r="AD75" i="16"/>
  <c r="AI75" i="16"/>
  <c r="AJ75" i="16" s="1"/>
  <c r="AG75" i="16"/>
  <c r="AH75" i="16" s="1"/>
  <c r="AK79" i="16"/>
  <c r="B30" i="19" s="1"/>
  <c r="AI79" i="16"/>
  <c r="AJ79" i="16" s="1"/>
  <c r="AG79" i="16"/>
  <c r="AH79" i="16" s="1"/>
  <c r="AG76" i="16"/>
  <c r="AH76" i="16" s="1"/>
  <c r="AI76" i="16"/>
  <c r="AJ76" i="16" s="1"/>
  <c r="E65" i="17"/>
  <c r="B24" i="19"/>
  <c r="H85" i="16"/>
  <c r="AG29" i="16"/>
  <c r="AH29" i="16" s="1"/>
  <c r="W3" i="18"/>
  <c r="AB3" i="18"/>
  <c r="AC3" i="18" s="1"/>
  <c r="B180" i="16"/>
  <c r="B71" i="19" s="1"/>
  <c r="AE50" i="18"/>
  <c r="AE51" i="18" s="1"/>
  <c r="AE52" i="18" s="1"/>
  <c r="AE53" i="18" s="1"/>
  <c r="AE54" i="18" s="1"/>
  <c r="AE55" i="18" s="1"/>
  <c r="AE56" i="18" s="1"/>
  <c r="AE57" i="18" s="1"/>
  <c r="AE58" i="18" s="1"/>
  <c r="AE59" i="18" s="1"/>
  <c r="AC50" i="18"/>
  <c r="AG49" i="18"/>
  <c r="F180" i="16"/>
  <c r="H178" i="16"/>
  <c r="D180" i="16"/>
  <c r="AF49" i="18"/>
  <c r="W50" i="18"/>
  <c r="Q3" i="18"/>
  <c r="T3" i="18" s="1"/>
  <c r="Z3" i="18" s="1"/>
  <c r="N33" i="18"/>
  <c r="Q33" i="18" s="1"/>
  <c r="T33" i="18" s="1"/>
  <c r="Z33" i="18" s="1"/>
  <c r="AA33" i="18" s="1"/>
  <c r="L33" i="18"/>
  <c r="O33" i="18" s="1"/>
  <c r="R33" i="18" s="1"/>
  <c r="V33" i="18" s="1"/>
  <c r="N40" i="18"/>
  <c r="Q40" i="18" s="1"/>
  <c r="T40" i="18" s="1"/>
  <c r="Z40" i="18" s="1"/>
  <c r="M40" i="18"/>
  <c r="P40" i="18" s="1"/>
  <c r="S40" i="18" s="1"/>
  <c r="X40" i="18" s="1"/>
  <c r="AD40" i="18" s="1"/>
  <c r="L40" i="18"/>
  <c r="O40" i="18" s="1"/>
  <c r="R40" i="18" s="1"/>
  <c r="V40" i="18" s="1"/>
  <c r="AB40" i="18" s="1"/>
  <c r="N41" i="18"/>
  <c r="Q41" i="18" s="1"/>
  <c r="T41" i="18" s="1"/>
  <c r="Z41" i="18" s="1"/>
  <c r="L41" i="18"/>
  <c r="O41" i="18" s="1"/>
  <c r="R41" i="18" s="1"/>
  <c r="V41" i="18" s="1"/>
  <c r="AB41" i="18" s="1"/>
  <c r="N36" i="18"/>
  <c r="Q36" i="18" s="1"/>
  <c r="T36" i="18" s="1"/>
  <c r="Z36" i="18" s="1"/>
  <c r="L36" i="18"/>
  <c r="O36" i="18" s="1"/>
  <c r="R36" i="18" s="1"/>
  <c r="V36" i="18" s="1"/>
  <c r="AB36" i="18" s="1"/>
  <c r="M36" i="18"/>
  <c r="P36" i="18" s="1"/>
  <c r="S36" i="18" s="1"/>
  <c r="X36" i="18" s="1"/>
  <c r="AD36" i="18" s="1"/>
  <c r="D41" i="16"/>
  <c r="AI29" i="16"/>
  <c r="AJ29" i="16" s="1"/>
  <c r="AK29" i="16"/>
  <c r="B5" i="19" s="1"/>
  <c r="F41" i="16"/>
  <c r="AD36" i="16"/>
  <c r="AI36" i="16"/>
  <c r="AJ36" i="16" s="1"/>
  <c r="AG36" i="16"/>
  <c r="AH36" i="16" s="1"/>
  <c r="AD30" i="16"/>
  <c r="AI30" i="16"/>
  <c r="AJ30" i="16" s="1"/>
  <c r="AG30" i="16"/>
  <c r="AH30" i="16" s="1"/>
  <c r="B41" i="16"/>
  <c r="AD31" i="16"/>
  <c r="AI31" i="16"/>
  <c r="AJ31" i="16" s="1"/>
  <c r="AG31" i="16"/>
  <c r="AH31" i="16" s="1"/>
  <c r="AK37" i="16"/>
  <c r="B13" i="19" s="1"/>
  <c r="AI37" i="16"/>
  <c r="AJ37" i="16" s="1"/>
  <c r="AG37" i="16"/>
  <c r="AH37" i="16" s="1"/>
  <c r="AD33" i="16"/>
  <c r="AI33" i="16"/>
  <c r="AJ33" i="16" s="1"/>
  <c r="AG33" i="16"/>
  <c r="AH33" i="16" s="1"/>
  <c r="AI27" i="16"/>
  <c r="AG27" i="16"/>
  <c r="AH27" i="16" s="1"/>
  <c r="AD32" i="16"/>
  <c r="AI32" i="16"/>
  <c r="AJ32" i="16" s="1"/>
  <c r="AG32" i="16"/>
  <c r="AH32" i="16" s="1"/>
  <c r="AD35" i="16"/>
  <c r="AI35" i="16"/>
  <c r="AJ35" i="16" s="1"/>
  <c r="AG35" i="16"/>
  <c r="AH35" i="16" s="1"/>
  <c r="U32" i="16"/>
  <c r="Z32" i="16"/>
  <c r="AA32" i="16" s="1"/>
  <c r="X32" i="16"/>
  <c r="Y32" i="16" s="1"/>
  <c r="AK30" i="16"/>
  <c r="B6" i="19" s="1"/>
  <c r="U34" i="16"/>
  <c r="Z34" i="16"/>
  <c r="AA34" i="16" s="1"/>
  <c r="X34" i="16"/>
  <c r="Y34" i="16" s="1"/>
  <c r="U28" i="16"/>
  <c r="Z28" i="16"/>
  <c r="AA28" i="16" s="1"/>
  <c r="X28" i="16"/>
  <c r="Y28" i="16" s="1"/>
  <c r="U38" i="16"/>
  <c r="X38" i="16"/>
  <c r="Y38" i="16" s="1"/>
  <c r="Z38" i="16"/>
  <c r="AA38" i="16" s="1"/>
  <c r="U36" i="16"/>
  <c r="Z36" i="16"/>
  <c r="AA36" i="16" s="1"/>
  <c r="X36" i="16"/>
  <c r="Y36" i="16" s="1"/>
  <c r="AK33" i="16"/>
  <c r="B9" i="19" s="1"/>
  <c r="AK35" i="16"/>
  <c r="B11" i="19" s="1"/>
  <c r="AD37" i="16"/>
  <c r="AK129" i="16"/>
  <c r="AK122" i="16"/>
  <c r="B43" i="19" s="1"/>
  <c r="AD27" i="16"/>
  <c r="AK27" i="16"/>
  <c r="B3" i="19" s="1"/>
  <c r="B44" i="18"/>
  <c r="J34" i="18" s="1"/>
  <c r="B24" i="18"/>
  <c r="J14" i="18" s="1"/>
  <c r="B29" i="18"/>
  <c r="J19" i="18" s="1"/>
  <c r="B49" i="18"/>
  <c r="J39" i="18" s="1"/>
  <c r="B134" i="16"/>
  <c r="B30" i="18"/>
  <c r="J20" i="18" s="1"/>
  <c r="B87" i="16"/>
  <c r="AD127" i="16"/>
  <c r="AK128" i="16"/>
  <c r="B49" i="19" s="1"/>
  <c r="AD76" i="16"/>
  <c r="AK76" i="16"/>
  <c r="B27" i="19" s="1"/>
  <c r="AK82" i="16"/>
  <c r="AD123" i="16"/>
  <c r="AK123" i="16"/>
  <c r="B44" i="19" s="1"/>
  <c r="AK75" i="16"/>
  <c r="B26" i="19" s="1"/>
  <c r="AD79" i="16"/>
  <c r="AK120" i="16"/>
  <c r="AK117" i="16"/>
  <c r="AK36" i="16"/>
  <c r="B12" i="19" s="1"/>
  <c r="AK74" i="16"/>
  <c r="AD81" i="16"/>
  <c r="AD77" i="16"/>
  <c r="AK78" i="16"/>
  <c r="AK80" i="16"/>
  <c r="B31" i="19" s="1"/>
  <c r="AK32" i="16"/>
  <c r="B8" i="19" s="1"/>
  <c r="AK174" i="16"/>
  <c r="B67" i="19" s="1"/>
  <c r="AK172" i="16"/>
  <c r="B65" i="19" s="1"/>
  <c r="AK165" i="16"/>
  <c r="B58" i="19" s="1"/>
  <c r="AK169" i="16"/>
  <c r="B62" i="19" s="1"/>
  <c r="AK166" i="16"/>
  <c r="B59" i="19" s="1"/>
  <c r="AK164" i="16"/>
  <c r="B57" i="19" s="1"/>
  <c r="AD163" i="16"/>
  <c r="AK163" i="16"/>
  <c r="AK173" i="16"/>
  <c r="B66" i="19" s="1"/>
  <c r="AK167" i="16"/>
  <c r="B60" i="19" s="1"/>
  <c r="E95" i="17" l="1"/>
  <c r="M4" i="18"/>
  <c r="P4" i="18" s="1"/>
  <c r="S4" i="18" s="1"/>
  <c r="X4" i="18" s="1"/>
  <c r="AD3" i="18"/>
  <c r="AE3" i="18" s="1"/>
  <c r="N4" i="18"/>
  <c r="Q4" i="18" s="1"/>
  <c r="T4" i="18" s="1"/>
  <c r="Z4" i="18" s="1"/>
  <c r="M10" i="18"/>
  <c r="P10" i="18" s="1"/>
  <c r="S10" i="18" s="1"/>
  <c r="X10" i="18" s="1"/>
  <c r="AD10" i="18" s="1"/>
  <c r="B43" i="16"/>
  <c r="B18" i="19" s="1"/>
  <c r="L10" i="18"/>
  <c r="O10" i="18" s="1"/>
  <c r="R10" i="18" s="1"/>
  <c r="V10" i="18" s="1"/>
  <c r="AB10" i="18" s="1"/>
  <c r="H180" i="16"/>
  <c r="H134" i="16"/>
  <c r="B53" i="19"/>
  <c r="H87" i="16"/>
  <c r="B35" i="19"/>
  <c r="D43" i="16"/>
  <c r="H132" i="16"/>
  <c r="E66" i="17"/>
  <c r="B41" i="19"/>
  <c r="AD118" i="16"/>
  <c r="AI118" i="16"/>
  <c r="AG118" i="16"/>
  <c r="AD125" i="16"/>
  <c r="AI125" i="16"/>
  <c r="AJ125" i="16" s="1"/>
  <c r="AG125" i="16"/>
  <c r="AH125" i="16" s="1"/>
  <c r="AG126" i="16"/>
  <c r="AH126" i="16" s="1"/>
  <c r="AI126" i="16"/>
  <c r="AJ126" i="16" s="1"/>
  <c r="AG119" i="16"/>
  <c r="AH119" i="16" s="1"/>
  <c r="AI119" i="16"/>
  <c r="AJ119" i="16" s="1"/>
  <c r="Y33" i="18"/>
  <c r="AD33" i="18"/>
  <c r="AE33" i="18" s="1"/>
  <c r="AI124" i="16"/>
  <c r="AJ124" i="16" s="1"/>
  <c r="AG124" i="16"/>
  <c r="AH124" i="16" s="1"/>
  <c r="AD121" i="16"/>
  <c r="AI121" i="16"/>
  <c r="AJ121" i="16" s="1"/>
  <c r="AG121" i="16"/>
  <c r="AH121" i="16" s="1"/>
  <c r="W33" i="18"/>
  <c r="AB33" i="18"/>
  <c r="AC33" i="18" s="1"/>
  <c r="AK72" i="16"/>
  <c r="B23" i="19" s="1"/>
  <c r="AG72" i="16"/>
  <c r="AH72" i="16" s="1"/>
  <c r="AI72" i="16"/>
  <c r="AJ72" i="16" s="1"/>
  <c r="AK71" i="16"/>
  <c r="B22" i="19" s="1"/>
  <c r="AI71" i="16"/>
  <c r="AG71" i="16"/>
  <c r="E80" i="17"/>
  <c r="B25" i="19"/>
  <c r="E110" i="17"/>
  <c r="B29" i="19"/>
  <c r="AJ27" i="16"/>
  <c r="Y4" i="18"/>
  <c r="Y5" i="18" s="1"/>
  <c r="Y6" i="18" s="1"/>
  <c r="Y7" i="18" s="1"/>
  <c r="Y8" i="18" s="1"/>
  <c r="Y9" i="18" s="1"/>
  <c r="AD4" i="18"/>
  <c r="AE4" i="18" s="1"/>
  <c r="AE5" i="18" s="1"/>
  <c r="AE6" i="18" s="1"/>
  <c r="AE7" i="18" s="1"/>
  <c r="AE8" i="18" s="1"/>
  <c r="AE9" i="18" s="1"/>
  <c r="AC4" i="18"/>
  <c r="W4" i="18"/>
  <c r="AI164" i="16"/>
  <c r="AG164" i="16"/>
  <c r="AD166" i="16"/>
  <c r="AG166" i="16"/>
  <c r="AH166" i="16" s="1"/>
  <c r="AI166" i="16"/>
  <c r="AJ166" i="16" s="1"/>
  <c r="AG50" i="18"/>
  <c r="AC51" i="18"/>
  <c r="AD174" i="16"/>
  <c r="AG174" i="16"/>
  <c r="AH174" i="16" s="1"/>
  <c r="AI174" i="16"/>
  <c r="AJ174" i="16" s="1"/>
  <c r="AD169" i="16"/>
  <c r="AI169" i="16"/>
  <c r="AJ169" i="16" s="1"/>
  <c r="AG169" i="16"/>
  <c r="AH169" i="16" s="1"/>
  <c r="AD172" i="16"/>
  <c r="AG172" i="16"/>
  <c r="AH172" i="16" s="1"/>
  <c r="AI172" i="16"/>
  <c r="AJ172" i="16" s="1"/>
  <c r="AD167" i="16"/>
  <c r="AI167" i="16"/>
  <c r="AJ167" i="16" s="1"/>
  <c r="AG167" i="16"/>
  <c r="AH167" i="16" s="1"/>
  <c r="AD173" i="16"/>
  <c r="AG173" i="16"/>
  <c r="AH173" i="16" s="1"/>
  <c r="AI173" i="16"/>
  <c r="AJ173" i="16" s="1"/>
  <c r="AD165" i="16"/>
  <c r="AG165" i="16"/>
  <c r="AH165" i="16" s="1"/>
  <c r="AI165" i="16"/>
  <c r="AJ165" i="16" s="1"/>
  <c r="W51" i="18"/>
  <c r="AF50" i="18"/>
  <c r="U33" i="18"/>
  <c r="U3" i="18"/>
  <c r="U4" i="18" s="1"/>
  <c r="U5" i="18" s="1"/>
  <c r="U6" i="18" s="1"/>
  <c r="U7" i="18" s="1"/>
  <c r="U8" i="18" s="1"/>
  <c r="U9" i="18" s="1"/>
  <c r="U10" i="18" s="1"/>
  <c r="U11" i="18" s="1"/>
  <c r="U12" i="18" s="1"/>
  <c r="U13" i="18" s="1"/>
  <c r="AA3" i="18"/>
  <c r="AA4" i="18" s="1"/>
  <c r="AA5" i="18" s="1"/>
  <c r="AA6" i="18" s="1"/>
  <c r="AA7" i="18" s="1"/>
  <c r="AA8" i="18" s="1"/>
  <c r="AA9" i="18" s="1"/>
  <c r="AA10" i="18" s="1"/>
  <c r="AA11" i="18" s="1"/>
  <c r="AA12" i="18" s="1"/>
  <c r="AA13" i="18" s="1"/>
  <c r="N34" i="18"/>
  <c r="Q34" i="18" s="1"/>
  <c r="T34" i="18" s="1"/>
  <c r="Z34" i="18" s="1"/>
  <c r="AA34" i="18" s="1"/>
  <c r="AA35" i="18" s="1"/>
  <c r="AA36" i="18" s="1"/>
  <c r="AA37" i="18" s="1"/>
  <c r="AA38" i="18" s="1"/>
  <c r="L34" i="18"/>
  <c r="O34" i="18" s="1"/>
  <c r="R34" i="18" s="1"/>
  <c r="V34" i="18" s="1"/>
  <c r="M34" i="18"/>
  <c r="P34" i="18" s="1"/>
  <c r="S34" i="18" s="1"/>
  <c r="X34" i="18" s="1"/>
  <c r="N19" i="18"/>
  <c r="Q19" i="18" s="1"/>
  <c r="T19" i="18" s="1"/>
  <c r="U19" i="18" s="1"/>
  <c r="M19" i="18"/>
  <c r="P19" i="18" s="1"/>
  <c r="S19" i="18" s="1"/>
  <c r="X19" i="18" s="1"/>
  <c r="L19" i="18"/>
  <c r="O19" i="18" s="1"/>
  <c r="R19" i="18" s="1"/>
  <c r="V19" i="18" s="1"/>
  <c r="N39" i="18"/>
  <c r="Q39" i="18" s="1"/>
  <c r="T39" i="18" s="1"/>
  <c r="Z39" i="18" s="1"/>
  <c r="M39" i="18"/>
  <c r="P39" i="18" s="1"/>
  <c r="S39" i="18" s="1"/>
  <c r="X39" i="18" s="1"/>
  <c r="AD39" i="18" s="1"/>
  <c r="L39" i="18"/>
  <c r="O39" i="18" s="1"/>
  <c r="R39" i="18" s="1"/>
  <c r="V39" i="18" s="1"/>
  <c r="AB39" i="18" s="1"/>
  <c r="N20" i="18"/>
  <c r="Q20" i="18" s="1"/>
  <c r="T20" i="18" s="1"/>
  <c r="Z20" i="18" s="1"/>
  <c r="L20" i="18"/>
  <c r="O20" i="18" s="1"/>
  <c r="R20" i="18" s="1"/>
  <c r="V20" i="18" s="1"/>
  <c r="AB20" i="18" s="1"/>
  <c r="M20" i="18"/>
  <c r="P20" i="18" s="1"/>
  <c r="S20" i="18" s="1"/>
  <c r="X20" i="18" s="1"/>
  <c r="AD20" i="18" s="1"/>
  <c r="N14" i="18"/>
  <c r="Q14" i="18" s="1"/>
  <c r="T14" i="18" s="1"/>
  <c r="Z14" i="18" s="1"/>
  <c r="M14" i="18"/>
  <c r="P14" i="18" s="1"/>
  <c r="S14" i="18" s="1"/>
  <c r="X14" i="18" s="1"/>
  <c r="AD14" i="18" s="1"/>
  <c r="L14" i="18"/>
  <c r="O14" i="18" s="1"/>
  <c r="R14" i="18" s="1"/>
  <c r="V14" i="18" s="1"/>
  <c r="AB14" i="18" s="1"/>
  <c r="H41" i="16"/>
  <c r="AD34" i="16"/>
  <c r="AI34" i="16"/>
  <c r="AJ34" i="16" s="1"/>
  <c r="AG34" i="16"/>
  <c r="AH34" i="16" s="1"/>
  <c r="AD28" i="16"/>
  <c r="AI28" i="16"/>
  <c r="AJ28" i="16" s="1"/>
  <c r="AG28" i="16"/>
  <c r="AH28" i="16" s="1"/>
  <c r="F43" i="16"/>
  <c r="AI38" i="16"/>
  <c r="AJ38" i="16" s="1"/>
  <c r="AG38" i="16"/>
  <c r="AH38" i="16" s="1"/>
  <c r="AK118" i="16"/>
  <c r="B39" i="19" s="1"/>
  <c r="AK125" i="16"/>
  <c r="AL27" i="16"/>
  <c r="B16" i="19" s="1"/>
  <c r="AL71" i="16"/>
  <c r="B33" i="19" s="1"/>
  <c r="AK121" i="16"/>
  <c r="AD72" i="16"/>
  <c r="AK28" i="16"/>
  <c r="B4" i="19" s="1"/>
  <c r="AL117" i="16"/>
  <c r="B51" i="19" s="1"/>
  <c r="AD124" i="16"/>
  <c r="AK124" i="16"/>
  <c r="B45" i="19" s="1"/>
  <c r="AD38" i="16"/>
  <c r="AK38" i="16"/>
  <c r="B14" i="19" s="1"/>
  <c r="AD119" i="16"/>
  <c r="AK119" i="16"/>
  <c r="AD126" i="16"/>
  <c r="AK126" i="16"/>
  <c r="AD71" i="16"/>
  <c r="AD164" i="16"/>
  <c r="AD175" i="16"/>
  <c r="AK175" i="16"/>
  <c r="AK170" i="16"/>
  <c r="B63" i="19" s="1"/>
  <c r="AK168" i="16"/>
  <c r="B61" i="19" s="1"/>
  <c r="AK171" i="16"/>
  <c r="B64" i="19" s="1"/>
  <c r="B13" i="12"/>
  <c r="B14" i="12"/>
  <c r="B15" i="12"/>
  <c r="B12" i="12"/>
  <c r="AE10" i="18" l="1"/>
  <c r="AE11" i="18" s="1"/>
  <c r="AE12" i="18" s="1"/>
  <c r="AE13" i="18" s="1"/>
  <c r="Y10" i="18"/>
  <c r="Y11" i="18" s="1"/>
  <c r="Y12" i="18" s="1"/>
  <c r="Y13" i="18" s="1"/>
  <c r="E50" i="17"/>
  <c r="E35" i="17"/>
  <c r="AJ164" i="16"/>
  <c r="AH164" i="16"/>
  <c r="AA39" i="18"/>
  <c r="AA40" i="18" s="1"/>
  <c r="AA41" i="18" s="1"/>
  <c r="AA42" i="18" s="1"/>
  <c r="AA43" i="18" s="1"/>
  <c r="Y34" i="18"/>
  <c r="Y35" i="18" s="1"/>
  <c r="Y36" i="18" s="1"/>
  <c r="Y37" i="18" s="1"/>
  <c r="Y38" i="18" s="1"/>
  <c r="Y39" i="18" s="1"/>
  <c r="Y40" i="18" s="1"/>
  <c r="Y41" i="18" s="1"/>
  <c r="Y42" i="18" s="1"/>
  <c r="Y43" i="18" s="1"/>
  <c r="AD34" i="18"/>
  <c r="AE34" i="18" s="1"/>
  <c r="AE35" i="18" s="1"/>
  <c r="AE36" i="18" s="1"/>
  <c r="AE37" i="18" s="1"/>
  <c r="AE38" i="18" s="1"/>
  <c r="AE39" i="18" s="1"/>
  <c r="AE40" i="18" s="1"/>
  <c r="AE41" i="18" s="1"/>
  <c r="AE42" i="18" s="1"/>
  <c r="AE43" i="18" s="1"/>
  <c r="AN117" i="16"/>
  <c r="AJ118" i="16"/>
  <c r="D133" i="16" s="1"/>
  <c r="E111" i="17"/>
  <c r="B47" i="19"/>
  <c r="W34" i="18"/>
  <c r="AB34" i="18"/>
  <c r="AC34" i="18" s="1"/>
  <c r="B133" i="16"/>
  <c r="B52" i="19" s="1"/>
  <c r="AG33" i="18"/>
  <c r="E51" i="17"/>
  <c r="B40" i="19"/>
  <c r="E96" i="17"/>
  <c r="B46" i="19"/>
  <c r="E81" i="17"/>
  <c r="B42" i="19"/>
  <c r="AF33" i="18"/>
  <c r="AM117" i="16"/>
  <c r="AH118" i="16"/>
  <c r="F133" i="16" s="1"/>
  <c r="AH71" i="16"/>
  <c r="F86" i="16" s="1"/>
  <c r="AM71" i="16"/>
  <c r="AJ71" i="16"/>
  <c r="D86" i="16" s="1"/>
  <c r="AN71" i="16"/>
  <c r="Y19" i="18"/>
  <c r="Y20" i="18" s="1"/>
  <c r="Y21" i="18" s="1"/>
  <c r="Y22" i="18" s="1"/>
  <c r="Y23" i="18" s="1"/>
  <c r="Y24" i="18" s="1"/>
  <c r="Y25" i="18" s="1"/>
  <c r="Y26" i="18" s="1"/>
  <c r="Y27" i="18" s="1"/>
  <c r="Y28" i="18" s="1"/>
  <c r="AD19" i="18"/>
  <c r="AE19" i="18" s="1"/>
  <c r="AE20" i="18" s="1"/>
  <c r="AE21" i="18" s="1"/>
  <c r="AE22" i="18" s="1"/>
  <c r="AE23" i="18" s="1"/>
  <c r="AE24" i="18" s="1"/>
  <c r="AE25" i="18" s="1"/>
  <c r="AE26" i="18" s="1"/>
  <c r="AE27" i="18" s="1"/>
  <c r="AE28" i="18" s="1"/>
  <c r="W19" i="18"/>
  <c r="AF19" i="18" s="1"/>
  <c r="AB19" i="18"/>
  <c r="AC19" i="18" s="1"/>
  <c r="F42" i="16"/>
  <c r="AM27" i="16"/>
  <c r="AN27" i="16"/>
  <c r="AE14" i="18"/>
  <c r="D42" i="16"/>
  <c r="W5" i="18"/>
  <c r="AF4" i="18"/>
  <c r="AF3" i="18"/>
  <c r="AG4" i="18"/>
  <c r="AC5" i="18"/>
  <c r="AG3" i="18"/>
  <c r="AL163" i="16"/>
  <c r="B69" i="19" s="1"/>
  <c r="AC52" i="18"/>
  <c r="AG51" i="18"/>
  <c r="AD171" i="16"/>
  <c r="AI171" i="16"/>
  <c r="AJ171" i="16" s="1"/>
  <c r="AG171" i="16"/>
  <c r="AH171" i="16" s="1"/>
  <c r="W52" i="18"/>
  <c r="AF51" i="18"/>
  <c r="AD168" i="16"/>
  <c r="AI168" i="16"/>
  <c r="AJ168" i="16" s="1"/>
  <c r="AG168" i="16"/>
  <c r="AH168" i="16" s="1"/>
  <c r="AD170" i="16"/>
  <c r="AI170" i="16"/>
  <c r="AJ170" i="16" s="1"/>
  <c r="AG170" i="16"/>
  <c r="AH170" i="16" s="1"/>
  <c r="Y14" i="18"/>
  <c r="U20" i="18"/>
  <c r="U21" i="18" s="1"/>
  <c r="U22" i="18" s="1"/>
  <c r="U23" i="18" s="1"/>
  <c r="U24" i="18" s="1"/>
  <c r="U25" i="18" s="1"/>
  <c r="U26" i="18" s="1"/>
  <c r="U27" i="18" s="1"/>
  <c r="U28" i="18" s="1"/>
  <c r="AA14" i="18"/>
  <c r="Z19" i="18"/>
  <c r="AA19" i="18" s="1"/>
  <c r="AA20" i="18" s="1"/>
  <c r="AA21" i="18" s="1"/>
  <c r="AA22" i="18" s="1"/>
  <c r="AA23" i="18" s="1"/>
  <c r="AA24" i="18" s="1"/>
  <c r="AA25" i="18" s="1"/>
  <c r="AA26" i="18" s="1"/>
  <c r="AA27" i="18" s="1"/>
  <c r="AA28" i="18" s="1"/>
  <c r="U14" i="18"/>
  <c r="U34" i="18"/>
  <c r="U35" i="18" s="1"/>
  <c r="U36" i="18" s="1"/>
  <c r="U37" i="18" s="1"/>
  <c r="U38" i="18" s="1"/>
  <c r="U39" i="18" s="1"/>
  <c r="U40" i="18" s="1"/>
  <c r="U41" i="18" s="1"/>
  <c r="U42" i="18" s="1"/>
  <c r="U43" i="18" s="1"/>
  <c r="E36" i="17"/>
  <c r="B42" i="16"/>
  <c r="B17" i="19" s="1"/>
  <c r="H43" i="16"/>
  <c r="B86" i="16"/>
  <c r="N83" i="12"/>
  <c r="N78" i="12"/>
  <c r="N81" i="12"/>
  <c r="N80" i="12"/>
  <c r="N76" i="12"/>
  <c r="N79" i="12"/>
  <c r="N75" i="12"/>
  <c r="N84" i="12"/>
  <c r="N77" i="12"/>
  <c r="R74" i="12"/>
  <c r="N82" i="12"/>
  <c r="N63" i="12"/>
  <c r="R67" i="12"/>
  <c r="N65" i="12"/>
  <c r="N67" i="12"/>
  <c r="N59" i="12"/>
  <c r="N62" i="12"/>
  <c r="N61" i="12"/>
  <c r="R66" i="12"/>
  <c r="N64" i="12"/>
  <c r="N60" i="12"/>
  <c r="N58" i="12"/>
  <c r="R60" i="12"/>
  <c r="N66" i="12"/>
  <c r="N41" i="12"/>
  <c r="N45" i="12"/>
  <c r="N39" i="12"/>
  <c r="N42" i="12"/>
  <c r="N46" i="12"/>
  <c r="N47" i="12"/>
  <c r="N44" i="12"/>
  <c r="N43" i="12"/>
  <c r="N40" i="12"/>
  <c r="N48" i="12"/>
  <c r="R27" i="12"/>
  <c r="N24" i="12"/>
  <c r="N28" i="12"/>
  <c r="N32" i="12"/>
  <c r="N30" i="12"/>
  <c r="N27" i="12"/>
  <c r="N25" i="12"/>
  <c r="N29" i="12"/>
  <c r="N26" i="12"/>
  <c r="N22" i="12"/>
  <c r="N23" i="12"/>
  <c r="N31" i="12"/>
  <c r="B179" i="16" l="1"/>
  <c r="B70" i="19" s="1"/>
  <c r="F179" i="16"/>
  <c r="AO117" i="16"/>
  <c r="W20" i="18"/>
  <c r="W21" i="18" s="1"/>
  <c r="AO27" i="16"/>
  <c r="AM163" i="16"/>
  <c r="AN163" i="16"/>
  <c r="AG34" i="18"/>
  <c r="AC35" i="18"/>
  <c r="W35" i="18"/>
  <c r="AF34" i="18"/>
  <c r="H86" i="16"/>
  <c r="B34" i="19"/>
  <c r="AO71" i="16"/>
  <c r="AC20" i="18"/>
  <c r="AG19" i="18"/>
  <c r="H42" i="16"/>
  <c r="AC6" i="18"/>
  <c r="AG5" i="18"/>
  <c r="W6" i="18"/>
  <c r="AF5" i="18"/>
  <c r="D179" i="16"/>
  <c r="H179" i="16" s="1"/>
  <c r="W53" i="18"/>
  <c r="AF52" i="18"/>
  <c r="AC53" i="18"/>
  <c r="AG52" i="18"/>
  <c r="P66" i="12"/>
  <c r="P27" i="12"/>
  <c r="P67" i="12"/>
  <c r="H133" i="16"/>
  <c r="P82" i="12"/>
  <c r="R82" i="12"/>
  <c r="P81" i="12"/>
  <c r="R81" i="12"/>
  <c r="P83" i="12"/>
  <c r="R83" i="12"/>
  <c r="P76" i="12"/>
  <c r="R76" i="12"/>
  <c r="P74" i="12"/>
  <c r="P80" i="12"/>
  <c r="R80" i="12"/>
  <c r="P84" i="12"/>
  <c r="R84" i="12"/>
  <c r="P77" i="12"/>
  <c r="R77" i="12"/>
  <c r="P78" i="12"/>
  <c r="R78" i="12"/>
  <c r="N74" i="12"/>
  <c r="N87" i="12" s="1"/>
  <c r="P79" i="12"/>
  <c r="R79" i="12"/>
  <c r="P75" i="12"/>
  <c r="R75" i="12"/>
  <c r="P65" i="12"/>
  <c r="R65" i="12"/>
  <c r="P60" i="12"/>
  <c r="P64" i="12"/>
  <c r="R64" i="12"/>
  <c r="P62" i="12"/>
  <c r="R62" i="12"/>
  <c r="N57" i="12"/>
  <c r="N70" i="12" s="1"/>
  <c r="P59" i="12"/>
  <c r="R59" i="12"/>
  <c r="P61" i="12"/>
  <c r="R61" i="12"/>
  <c r="P58" i="12"/>
  <c r="R58" i="12"/>
  <c r="P63" i="12"/>
  <c r="R63" i="12"/>
  <c r="P57" i="12"/>
  <c r="R57" i="12"/>
  <c r="P25" i="12"/>
  <c r="R25" i="12"/>
  <c r="P22" i="12"/>
  <c r="R22" i="12"/>
  <c r="P31" i="12"/>
  <c r="R31" i="12"/>
  <c r="P41" i="12"/>
  <c r="R41" i="12"/>
  <c r="P44" i="12"/>
  <c r="R44" i="12"/>
  <c r="P30" i="12"/>
  <c r="R30" i="12"/>
  <c r="P48" i="12"/>
  <c r="R48" i="12"/>
  <c r="P40" i="12"/>
  <c r="R40" i="12"/>
  <c r="P26" i="12"/>
  <c r="R26" i="12"/>
  <c r="P23" i="12"/>
  <c r="R23" i="12"/>
  <c r="N53" i="12"/>
  <c r="P46" i="12"/>
  <c r="R46" i="12"/>
  <c r="P29" i="12"/>
  <c r="R29" i="12"/>
  <c r="N35" i="12"/>
  <c r="P28" i="12"/>
  <c r="R28" i="12"/>
  <c r="P42" i="12"/>
  <c r="R42" i="12"/>
  <c r="P45" i="12"/>
  <c r="R45" i="12"/>
  <c r="P47" i="12"/>
  <c r="R47" i="12"/>
  <c r="P43" i="12"/>
  <c r="R43" i="12"/>
  <c r="P32" i="12"/>
  <c r="R32" i="12"/>
  <c r="P24" i="12"/>
  <c r="R24" i="12"/>
  <c r="P33" i="12"/>
  <c r="R33" i="12"/>
  <c r="P39" i="12"/>
  <c r="R39" i="12"/>
  <c r="T22" i="12"/>
  <c r="C3" i="19" s="1"/>
  <c r="AF20" i="18" l="1"/>
  <c r="AO163" i="16"/>
  <c r="W36" i="18"/>
  <c r="AF35" i="18"/>
  <c r="AC36" i="18"/>
  <c r="AG35" i="18"/>
  <c r="W22" i="18"/>
  <c r="AF21" i="18"/>
  <c r="AC21" i="18"/>
  <c r="AG20" i="18"/>
  <c r="W7" i="18"/>
  <c r="AF6" i="18"/>
  <c r="AC7" i="18"/>
  <c r="AG6" i="18"/>
  <c r="AC54" i="18"/>
  <c r="AG53" i="18"/>
  <c r="W54" i="18"/>
  <c r="AF53" i="18"/>
  <c r="R87" i="12"/>
  <c r="C71" i="19" s="1"/>
  <c r="T74" i="12"/>
  <c r="C57" i="19" s="1"/>
  <c r="P87" i="12"/>
  <c r="C70" i="19" s="1"/>
  <c r="R70" i="12"/>
  <c r="C53" i="19" s="1"/>
  <c r="P70" i="12"/>
  <c r="C52" i="19" s="1"/>
  <c r="T70" i="12"/>
  <c r="C51" i="19" s="1"/>
  <c r="R53" i="12"/>
  <c r="C35" i="19" s="1"/>
  <c r="R35" i="12"/>
  <c r="C18" i="19" s="1"/>
  <c r="P35" i="12"/>
  <c r="C17" i="19" s="1"/>
  <c r="P53" i="12"/>
  <c r="C34" i="19" s="1"/>
  <c r="AC37" i="18" l="1"/>
  <c r="AG36" i="18"/>
  <c r="W37" i="18"/>
  <c r="AF36" i="18"/>
  <c r="AC22" i="18"/>
  <c r="AG21" i="18"/>
  <c r="W23" i="18"/>
  <c r="AF22" i="18"/>
  <c r="AC8" i="18"/>
  <c r="AG7" i="18"/>
  <c r="W8" i="18"/>
  <c r="AF7" i="18"/>
  <c r="W55" i="18"/>
  <c r="AF54" i="18"/>
  <c r="AC55" i="18"/>
  <c r="AG54" i="18"/>
  <c r="Z69" i="9"/>
  <c r="AA69" i="9" s="1"/>
  <c r="V69" i="9"/>
  <c r="W69" i="9" s="1"/>
  <c r="H69" i="9"/>
  <c r="I69" i="9" s="1"/>
  <c r="E69" i="9"/>
  <c r="F69" i="9" s="1"/>
  <c r="Z68" i="9"/>
  <c r="AA68" i="9" s="1"/>
  <c r="AB68" i="9" s="1"/>
  <c r="V68" i="9"/>
  <c r="W68" i="9" s="1"/>
  <c r="H68" i="9"/>
  <c r="I68" i="9" s="1"/>
  <c r="E68" i="9"/>
  <c r="F68" i="9" s="1"/>
  <c r="Z67" i="9"/>
  <c r="AA67" i="9" s="1"/>
  <c r="AB67" i="9" s="1"/>
  <c r="V67" i="9"/>
  <c r="W67" i="9" s="1"/>
  <c r="H67" i="9"/>
  <c r="I67" i="9" s="1"/>
  <c r="E67" i="9"/>
  <c r="F67" i="9" s="1"/>
  <c r="Z66" i="9"/>
  <c r="AA66" i="9" s="1"/>
  <c r="AB66" i="9" s="1"/>
  <c r="V66" i="9"/>
  <c r="W66" i="9" s="1"/>
  <c r="H66" i="9"/>
  <c r="I66" i="9" s="1"/>
  <c r="E66" i="9"/>
  <c r="F66" i="9" s="1"/>
  <c r="Z65" i="9"/>
  <c r="AA65" i="9" s="1"/>
  <c r="AB65" i="9" s="1"/>
  <c r="V65" i="9"/>
  <c r="W65" i="9" s="1"/>
  <c r="H65" i="9"/>
  <c r="I65" i="9" s="1"/>
  <c r="E65" i="9"/>
  <c r="F65" i="9" s="1"/>
  <c r="Z64" i="9"/>
  <c r="AA64" i="9" s="1"/>
  <c r="AB64" i="9" s="1"/>
  <c r="V64" i="9"/>
  <c r="W64" i="9" s="1"/>
  <c r="H64" i="9"/>
  <c r="I64" i="9" s="1"/>
  <c r="E64" i="9"/>
  <c r="F64" i="9" s="1"/>
  <c r="Z63" i="9"/>
  <c r="AA63" i="9" s="1"/>
  <c r="AB63" i="9" s="1"/>
  <c r="V63" i="9"/>
  <c r="W63" i="9" s="1"/>
  <c r="H63" i="9"/>
  <c r="I63" i="9" s="1"/>
  <c r="E63" i="9"/>
  <c r="F63" i="9" s="1"/>
  <c r="Z62" i="9"/>
  <c r="AA62" i="9" s="1"/>
  <c r="AB62" i="9" s="1"/>
  <c r="V62" i="9"/>
  <c r="W62" i="9" s="1"/>
  <c r="H62" i="9"/>
  <c r="I62" i="9" s="1"/>
  <c r="E62" i="9"/>
  <c r="F62" i="9" s="1"/>
  <c r="Z61" i="9"/>
  <c r="AA61" i="9" s="1"/>
  <c r="AB61" i="9" s="1"/>
  <c r="V61" i="9"/>
  <c r="W61" i="9" s="1"/>
  <c r="H61" i="9"/>
  <c r="I61" i="9" s="1"/>
  <c r="E61" i="9"/>
  <c r="F61" i="9" s="1"/>
  <c r="Z60" i="9"/>
  <c r="AA60" i="9" s="1"/>
  <c r="AB60" i="9" s="1"/>
  <c r="V60" i="9"/>
  <c r="W60" i="9" s="1"/>
  <c r="H60" i="9"/>
  <c r="I60" i="9" s="1"/>
  <c r="E60" i="9"/>
  <c r="F60" i="9" s="1"/>
  <c r="Z59" i="9"/>
  <c r="AA59" i="9" s="1"/>
  <c r="AB59" i="9" s="1"/>
  <c r="AF58" i="9" s="1"/>
  <c r="V59" i="9"/>
  <c r="W59" i="9" s="1"/>
  <c r="H59" i="9"/>
  <c r="I59" i="9" s="1"/>
  <c r="E59" i="9"/>
  <c r="F59" i="9" s="1"/>
  <c r="Z58" i="9"/>
  <c r="AA58" i="9" s="1"/>
  <c r="AB58" i="9" s="1"/>
  <c r="V58" i="9"/>
  <c r="W58" i="9" s="1"/>
  <c r="H58" i="9"/>
  <c r="I58" i="9" s="1"/>
  <c r="E58" i="9"/>
  <c r="F58" i="9" s="1"/>
  <c r="AA54" i="9"/>
  <c r="V54" i="9"/>
  <c r="S54" i="9"/>
  <c r="O54" i="9"/>
  <c r="K54" i="9"/>
  <c r="H54" i="9"/>
  <c r="E54" i="9"/>
  <c r="AA53" i="9"/>
  <c r="AB53" i="9" s="1"/>
  <c r="V53" i="9"/>
  <c r="W53" i="9" s="1"/>
  <c r="S53" i="9"/>
  <c r="T53" i="9" s="1"/>
  <c r="O53" i="9"/>
  <c r="K53" i="9"/>
  <c r="M53" i="9" s="1"/>
  <c r="H53" i="9"/>
  <c r="I53" i="9" s="1"/>
  <c r="E53" i="9"/>
  <c r="F53" i="9" s="1"/>
  <c r="AA52" i="9"/>
  <c r="AB52" i="9" s="1"/>
  <c r="V52" i="9"/>
  <c r="W52" i="9" s="1"/>
  <c r="S52" i="9"/>
  <c r="T52" i="9" s="1"/>
  <c r="O52" i="9"/>
  <c r="K52" i="9"/>
  <c r="M52" i="9" s="1"/>
  <c r="H52" i="9"/>
  <c r="I52" i="9" s="1"/>
  <c r="E52" i="9"/>
  <c r="F52" i="9" s="1"/>
  <c r="AA51" i="9"/>
  <c r="AB51" i="9" s="1"/>
  <c r="V51" i="9"/>
  <c r="W51" i="9" s="1"/>
  <c r="S51" i="9"/>
  <c r="T51" i="9" s="1"/>
  <c r="O51" i="9"/>
  <c r="K51" i="9"/>
  <c r="M51" i="9" s="1"/>
  <c r="H51" i="9"/>
  <c r="I51" i="9" s="1"/>
  <c r="E51" i="9"/>
  <c r="F51" i="9" s="1"/>
  <c r="AA50" i="9"/>
  <c r="AB50" i="9" s="1"/>
  <c r="V50" i="9"/>
  <c r="W50" i="9" s="1"/>
  <c r="S50" i="9"/>
  <c r="T50" i="9" s="1"/>
  <c r="O50" i="9"/>
  <c r="K50" i="9"/>
  <c r="M50" i="9" s="1"/>
  <c r="H50" i="9"/>
  <c r="I50" i="9" s="1"/>
  <c r="E50" i="9"/>
  <c r="F50" i="9" s="1"/>
  <c r="AA49" i="9"/>
  <c r="AB49" i="9" s="1"/>
  <c r="V49" i="9"/>
  <c r="W49" i="9" s="1"/>
  <c r="S49" i="9"/>
  <c r="T49" i="9" s="1"/>
  <c r="O49" i="9"/>
  <c r="K49" i="9"/>
  <c r="M49" i="9" s="1"/>
  <c r="H49" i="9"/>
  <c r="I49" i="9" s="1"/>
  <c r="E49" i="9"/>
  <c r="F49" i="9" s="1"/>
  <c r="AA48" i="9"/>
  <c r="AB48" i="9" s="1"/>
  <c r="V48" i="9"/>
  <c r="W48" i="9" s="1"/>
  <c r="S48" i="9"/>
  <c r="T48" i="9" s="1"/>
  <c r="O48" i="9"/>
  <c r="K48" i="9"/>
  <c r="M48" i="9" s="1"/>
  <c r="H48" i="9"/>
  <c r="I48" i="9" s="1"/>
  <c r="E48" i="9"/>
  <c r="F48" i="9" s="1"/>
  <c r="AA47" i="9"/>
  <c r="AB47" i="9" s="1"/>
  <c r="V47" i="9"/>
  <c r="W47" i="9" s="1"/>
  <c r="S47" i="9"/>
  <c r="T47" i="9" s="1"/>
  <c r="O47" i="9"/>
  <c r="K47" i="9"/>
  <c r="M47" i="9" s="1"/>
  <c r="H47" i="9"/>
  <c r="I47" i="9" s="1"/>
  <c r="E47" i="9"/>
  <c r="F47" i="9" s="1"/>
  <c r="AA46" i="9"/>
  <c r="AB46" i="9" s="1"/>
  <c r="V46" i="9"/>
  <c r="W46" i="9" s="1"/>
  <c r="S46" i="9"/>
  <c r="T46" i="9" s="1"/>
  <c r="O46" i="9"/>
  <c r="K46" i="9"/>
  <c r="M46" i="9" s="1"/>
  <c r="H46" i="9"/>
  <c r="I46" i="9" s="1"/>
  <c r="E46" i="9"/>
  <c r="F46" i="9" s="1"/>
  <c r="AA45" i="9"/>
  <c r="AB45" i="9" s="1"/>
  <c r="V45" i="9"/>
  <c r="W45" i="9" s="1"/>
  <c r="S45" i="9"/>
  <c r="T45" i="9" s="1"/>
  <c r="O45" i="9"/>
  <c r="K45" i="9"/>
  <c r="M45" i="9" s="1"/>
  <c r="H45" i="9"/>
  <c r="I45" i="9" s="1"/>
  <c r="E45" i="9"/>
  <c r="F45" i="9" s="1"/>
  <c r="AA44" i="9"/>
  <c r="AB44" i="9" s="1"/>
  <c r="V44" i="9"/>
  <c r="W44" i="9" s="1"/>
  <c r="S44" i="9"/>
  <c r="T44" i="9" s="1"/>
  <c r="O44" i="9"/>
  <c r="K44" i="9"/>
  <c r="M44" i="9" s="1"/>
  <c r="H44" i="9"/>
  <c r="I44" i="9" s="1"/>
  <c r="E44" i="9"/>
  <c r="F44" i="9" s="1"/>
  <c r="AA43" i="9"/>
  <c r="AB43" i="9" s="1"/>
  <c r="V43" i="9"/>
  <c r="W43" i="9" s="1"/>
  <c r="S43" i="9"/>
  <c r="T43" i="9" s="1"/>
  <c r="O43" i="9"/>
  <c r="K43" i="9"/>
  <c r="M43" i="9" s="1"/>
  <c r="H43" i="9"/>
  <c r="I43" i="9" s="1"/>
  <c r="E43" i="9"/>
  <c r="F43" i="9" s="1"/>
  <c r="Z37" i="9"/>
  <c r="AA37" i="9" s="1"/>
  <c r="V37" i="9"/>
  <c r="S37" i="9"/>
  <c r="O37" i="9"/>
  <c r="H46" i="20" s="1"/>
  <c r="K37" i="9"/>
  <c r="E37" i="9"/>
  <c r="Z36" i="9"/>
  <c r="AA36" i="9" s="1"/>
  <c r="AB36" i="9" s="1"/>
  <c r="V36" i="9"/>
  <c r="W36" i="9" s="1"/>
  <c r="S36" i="9"/>
  <c r="T36" i="9" s="1"/>
  <c r="O36" i="9"/>
  <c r="K36" i="9"/>
  <c r="M36" i="9" s="1"/>
  <c r="H36" i="9"/>
  <c r="I36" i="9" s="1"/>
  <c r="E36" i="9"/>
  <c r="F36" i="9" s="1"/>
  <c r="Z35" i="9"/>
  <c r="AA35" i="9" s="1"/>
  <c r="AB35" i="9" s="1"/>
  <c r="V35" i="9"/>
  <c r="W35" i="9" s="1"/>
  <c r="S35" i="9"/>
  <c r="T35" i="9" s="1"/>
  <c r="O35" i="9"/>
  <c r="K35" i="9"/>
  <c r="M35" i="9" s="1"/>
  <c r="H35" i="9"/>
  <c r="I35" i="9" s="1"/>
  <c r="E35" i="9"/>
  <c r="F35" i="9" s="1"/>
  <c r="Z34" i="9"/>
  <c r="AA34" i="9" s="1"/>
  <c r="AB34" i="9" s="1"/>
  <c r="V34" i="9"/>
  <c r="W34" i="9" s="1"/>
  <c r="S34" i="9"/>
  <c r="T34" i="9" s="1"/>
  <c r="O34" i="9"/>
  <c r="K34" i="9"/>
  <c r="M34" i="9" s="1"/>
  <c r="H34" i="9"/>
  <c r="I34" i="9" s="1"/>
  <c r="E34" i="9"/>
  <c r="F34" i="9" s="1"/>
  <c r="Z33" i="9"/>
  <c r="AA33" i="9" s="1"/>
  <c r="AB33" i="9" s="1"/>
  <c r="V33" i="9"/>
  <c r="W33" i="9" s="1"/>
  <c r="S33" i="9"/>
  <c r="T33" i="9" s="1"/>
  <c r="O33" i="9"/>
  <c r="H42" i="20" s="1"/>
  <c r="K33" i="9"/>
  <c r="M33" i="9" s="1"/>
  <c r="H33" i="9"/>
  <c r="I33" i="9" s="1"/>
  <c r="E33" i="9"/>
  <c r="F33" i="9" s="1"/>
  <c r="Z32" i="9"/>
  <c r="AA32" i="9" s="1"/>
  <c r="AB32" i="9" s="1"/>
  <c r="V32" i="9"/>
  <c r="W32" i="9" s="1"/>
  <c r="S32" i="9"/>
  <c r="T32" i="9" s="1"/>
  <c r="O32" i="9"/>
  <c r="K32" i="9"/>
  <c r="M32" i="9" s="1"/>
  <c r="H32" i="9"/>
  <c r="I32" i="9" s="1"/>
  <c r="E32" i="9"/>
  <c r="F32" i="9" s="1"/>
  <c r="Z31" i="9"/>
  <c r="AA31" i="9" s="1"/>
  <c r="AB31" i="9" s="1"/>
  <c r="V31" i="9"/>
  <c r="W31" i="9" s="1"/>
  <c r="S31" i="9"/>
  <c r="T31" i="9" s="1"/>
  <c r="O31" i="9"/>
  <c r="K31" i="9"/>
  <c r="M31" i="9" s="1"/>
  <c r="H31" i="9"/>
  <c r="I31" i="9" s="1"/>
  <c r="E31" i="9"/>
  <c r="F31" i="9" s="1"/>
  <c r="Z30" i="9"/>
  <c r="AA30" i="9" s="1"/>
  <c r="AB30" i="9" s="1"/>
  <c r="V30" i="9"/>
  <c r="W30" i="9" s="1"/>
  <c r="S30" i="9"/>
  <c r="T30" i="9" s="1"/>
  <c r="O30" i="9"/>
  <c r="K30" i="9"/>
  <c r="M30" i="9" s="1"/>
  <c r="H30" i="9"/>
  <c r="I30" i="9" s="1"/>
  <c r="E30" i="9"/>
  <c r="F30" i="9" s="1"/>
  <c r="Z29" i="9"/>
  <c r="AA29" i="9" s="1"/>
  <c r="AB29" i="9" s="1"/>
  <c r="V29" i="9"/>
  <c r="W29" i="9" s="1"/>
  <c r="S29" i="9"/>
  <c r="T29" i="9" s="1"/>
  <c r="O29" i="9"/>
  <c r="K29" i="9"/>
  <c r="M29" i="9" s="1"/>
  <c r="H29" i="9"/>
  <c r="I29" i="9" s="1"/>
  <c r="E29" i="9"/>
  <c r="F29" i="9" s="1"/>
  <c r="Z28" i="9"/>
  <c r="AA28" i="9" s="1"/>
  <c r="AB28" i="9" s="1"/>
  <c r="V28" i="9"/>
  <c r="W28" i="9" s="1"/>
  <c r="S28" i="9"/>
  <c r="T28" i="9" s="1"/>
  <c r="O28" i="9"/>
  <c r="K28" i="9"/>
  <c r="M28" i="9" s="1"/>
  <c r="H28" i="9"/>
  <c r="I28" i="9" s="1"/>
  <c r="E28" i="9"/>
  <c r="F28" i="9" s="1"/>
  <c r="Z27" i="9"/>
  <c r="AA27" i="9" s="1"/>
  <c r="AB27" i="9" s="1"/>
  <c r="V27" i="9"/>
  <c r="W27" i="9" s="1"/>
  <c r="S27" i="9"/>
  <c r="T27" i="9" s="1"/>
  <c r="O27" i="9"/>
  <c r="K27" i="9"/>
  <c r="M27" i="9" s="1"/>
  <c r="E27" i="9"/>
  <c r="F27" i="9" s="1"/>
  <c r="Z22" i="9"/>
  <c r="AA22" i="9" s="1"/>
  <c r="V22" i="9"/>
  <c r="S22" i="9"/>
  <c r="O22" i="9"/>
  <c r="H26" i="20" s="1"/>
  <c r="X22" i="9"/>
  <c r="K22" i="9"/>
  <c r="H22" i="9"/>
  <c r="E22" i="9"/>
  <c r="Z21" i="9"/>
  <c r="AA21" i="9" s="1"/>
  <c r="AB21" i="9" s="1"/>
  <c r="V21" i="9"/>
  <c r="W21" i="9" s="1"/>
  <c r="S21" i="9"/>
  <c r="T21" i="9" s="1"/>
  <c r="X21" i="9"/>
  <c r="D14" i="19" s="1"/>
  <c r="K21" i="9"/>
  <c r="M21" i="9" s="1"/>
  <c r="H21" i="9"/>
  <c r="I21" i="9" s="1"/>
  <c r="E21" i="9"/>
  <c r="F21" i="9" s="1"/>
  <c r="Z20" i="9"/>
  <c r="AA20" i="9" s="1"/>
  <c r="AB20" i="9" s="1"/>
  <c r="V20" i="9"/>
  <c r="W20" i="9" s="1"/>
  <c r="S20" i="9"/>
  <c r="T20" i="9" s="1"/>
  <c r="O20" i="9"/>
  <c r="K20" i="9"/>
  <c r="M20" i="9" s="1"/>
  <c r="H20" i="9"/>
  <c r="I20" i="9" s="1"/>
  <c r="E20" i="9"/>
  <c r="F20" i="9" s="1"/>
  <c r="Z19" i="9"/>
  <c r="AA19" i="9" s="1"/>
  <c r="AB19" i="9" s="1"/>
  <c r="V19" i="9"/>
  <c r="W19" i="9" s="1"/>
  <c r="S19" i="9"/>
  <c r="T19" i="9" s="1"/>
  <c r="X19" i="9"/>
  <c r="D12" i="19" s="1"/>
  <c r="K19" i="9"/>
  <c r="M19" i="9" s="1"/>
  <c r="H19" i="9"/>
  <c r="I19" i="9" s="1"/>
  <c r="E19" i="9"/>
  <c r="F19" i="9" s="1"/>
  <c r="Z18" i="9"/>
  <c r="AA18" i="9" s="1"/>
  <c r="AB18" i="9" s="1"/>
  <c r="V18" i="9"/>
  <c r="W18" i="9" s="1"/>
  <c r="S18" i="9"/>
  <c r="T18" i="9" s="1"/>
  <c r="O18" i="9"/>
  <c r="K18" i="9"/>
  <c r="M18" i="9" s="1"/>
  <c r="H18" i="9"/>
  <c r="I18" i="9" s="1"/>
  <c r="E18" i="9"/>
  <c r="F18" i="9" s="1"/>
  <c r="Z17" i="9"/>
  <c r="AA17" i="9" s="1"/>
  <c r="AB17" i="9" s="1"/>
  <c r="V17" i="9"/>
  <c r="W17" i="9" s="1"/>
  <c r="S17" i="9"/>
  <c r="T17" i="9" s="1"/>
  <c r="X17" i="9"/>
  <c r="D10" i="19" s="1"/>
  <c r="K17" i="9"/>
  <c r="M17" i="9" s="1"/>
  <c r="H17" i="9"/>
  <c r="I17" i="9" s="1"/>
  <c r="E17" i="9"/>
  <c r="F17" i="9" s="1"/>
  <c r="Z16" i="9"/>
  <c r="AA16" i="9" s="1"/>
  <c r="AB16" i="9" s="1"/>
  <c r="V16" i="9"/>
  <c r="W16" i="9" s="1"/>
  <c r="S16" i="9"/>
  <c r="T16" i="9" s="1"/>
  <c r="X16" i="9"/>
  <c r="D9" i="19" s="1"/>
  <c r="H16" i="9"/>
  <c r="I16" i="9" s="1"/>
  <c r="E16" i="9"/>
  <c r="F16" i="9" s="1"/>
  <c r="Z15" i="9"/>
  <c r="AA15" i="9" s="1"/>
  <c r="AB15" i="9" s="1"/>
  <c r="V15" i="9"/>
  <c r="W15" i="9" s="1"/>
  <c r="S15" i="9"/>
  <c r="T15" i="9" s="1"/>
  <c r="X15" i="9"/>
  <c r="D8" i="19" s="1"/>
  <c r="K15" i="9"/>
  <c r="M15" i="9" s="1"/>
  <c r="H15" i="9"/>
  <c r="I15" i="9" s="1"/>
  <c r="E15" i="9"/>
  <c r="F15" i="9" s="1"/>
  <c r="Z14" i="9"/>
  <c r="AA14" i="9" s="1"/>
  <c r="AB14" i="9" s="1"/>
  <c r="V14" i="9"/>
  <c r="W14" i="9" s="1"/>
  <c r="S14" i="9"/>
  <c r="T14" i="9" s="1"/>
  <c r="X14" i="9"/>
  <c r="D7" i="19" s="1"/>
  <c r="K14" i="9"/>
  <c r="M14" i="9" s="1"/>
  <c r="H14" i="9"/>
  <c r="I14" i="9" s="1"/>
  <c r="E14" i="9"/>
  <c r="F14" i="9" s="1"/>
  <c r="Z13" i="9"/>
  <c r="AA13" i="9" s="1"/>
  <c r="AB13" i="9" s="1"/>
  <c r="V13" i="9"/>
  <c r="W13" i="9" s="1"/>
  <c r="S13" i="9"/>
  <c r="T13" i="9" s="1"/>
  <c r="X13" i="9"/>
  <c r="D6" i="19" s="1"/>
  <c r="K13" i="9"/>
  <c r="M13" i="9" s="1"/>
  <c r="H13" i="9"/>
  <c r="I13" i="9" s="1"/>
  <c r="E13" i="9"/>
  <c r="F13" i="9" s="1"/>
  <c r="Z12" i="9"/>
  <c r="AA12" i="9" s="1"/>
  <c r="AB12" i="9" s="1"/>
  <c r="V12" i="9"/>
  <c r="W12" i="9" s="1"/>
  <c r="S12" i="9"/>
  <c r="T12" i="9" s="1"/>
  <c r="X12" i="9"/>
  <c r="D5" i="19" s="1"/>
  <c r="K12" i="9"/>
  <c r="M12" i="9" s="1"/>
  <c r="H12" i="9"/>
  <c r="I12" i="9" s="1"/>
  <c r="E12" i="9"/>
  <c r="F12" i="9" s="1"/>
  <c r="Z11" i="9"/>
  <c r="AA11" i="9" s="1"/>
  <c r="AB11" i="9" s="1"/>
  <c r="V11" i="9"/>
  <c r="W11" i="9" s="1"/>
  <c r="S11" i="9"/>
  <c r="T11" i="9" s="1"/>
  <c r="X11" i="9"/>
  <c r="D4" i="19" s="1"/>
  <c r="K11" i="9"/>
  <c r="M11" i="9" s="1"/>
  <c r="H11" i="9"/>
  <c r="I11" i="9" s="1"/>
  <c r="E11" i="9"/>
  <c r="F11" i="9" s="1"/>
  <c r="Z10" i="9"/>
  <c r="AA10" i="9" s="1"/>
  <c r="AB10" i="9" s="1"/>
  <c r="V10" i="9"/>
  <c r="W10" i="9" s="1"/>
  <c r="S10" i="9"/>
  <c r="T10" i="9" s="1"/>
  <c r="O10" i="9"/>
  <c r="H10" i="9"/>
  <c r="I10" i="9" s="1"/>
  <c r="E10" i="9"/>
  <c r="F10" i="9" s="1"/>
  <c r="W38" i="18" l="1"/>
  <c r="AF37" i="18"/>
  <c r="AC38" i="18"/>
  <c r="AG37" i="18"/>
  <c r="W24" i="18"/>
  <c r="AF23" i="18"/>
  <c r="AC23" i="18"/>
  <c r="AG22" i="18"/>
  <c r="W9" i="18"/>
  <c r="AF8" i="18"/>
  <c r="AC9" i="18"/>
  <c r="AG8" i="18"/>
  <c r="AC56" i="18"/>
  <c r="AG55" i="18"/>
  <c r="W56" i="18"/>
  <c r="AF55" i="18"/>
  <c r="AD27" i="9"/>
  <c r="Q28" i="9"/>
  <c r="H37" i="20"/>
  <c r="Q32" i="9"/>
  <c r="H41" i="20"/>
  <c r="K42" i="20" s="1"/>
  <c r="Q44" i="9"/>
  <c r="H58" i="20"/>
  <c r="Q10" i="9"/>
  <c r="H14" i="20"/>
  <c r="I14" i="20" s="1"/>
  <c r="J14" i="20" s="1"/>
  <c r="I26" i="20"/>
  <c r="I42" i="20"/>
  <c r="J42" i="20" s="1"/>
  <c r="Q53" i="9"/>
  <c r="H67" i="20"/>
  <c r="Q52" i="9"/>
  <c r="H66" i="20"/>
  <c r="Q27" i="9"/>
  <c r="H36" i="20"/>
  <c r="I36" i="20" s="1"/>
  <c r="J36" i="20" s="1"/>
  <c r="Q31" i="9"/>
  <c r="H40" i="20"/>
  <c r="Q35" i="9"/>
  <c r="H44" i="20"/>
  <c r="Q43" i="9"/>
  <c r="H57" i="20"/>
  <c r="Q47" i="9"/>
  <c r="H61" i="20"/>
  <c r="Q51" i="9"/>
  <c r="H65" i="20"/>
  <c r="B91" i="20"/>
  <c r="C91" i="20" s="1"/>
  <c r="D71" i="19"/>
  <c r="Q29" i="9"/>
  <c r="H38" i="20"/>
  <c r="Q45" i="9"/>
  <c r="H59" i="20"/>
  <c r="Q49" i="9"/>
  <c r="H63" i="20"/>
  <c r="Q20" i="9"/>
  <c r="H24" i="20"/>
  <c r="Q36" i="9"/>
  <c r="H45" i="20"/>
  <c r="Q48" i="9"/>
  <c r="H62" i="20"/>
  <c r="Q18" i="9"/>
  <c r="H22" i="20"/>
  <c r="Q30" i="9"/>
  <c r="H39" i="20"/>
  <c r="Q34" i="9"/>
  <c r="H43" i="20"/>
  <c r="I46" i="20"/>
  <c r="Q46" i="9"/>
  <c r="H60" i="20"/>
  <c r="Q50" i="9"/>
  <c r="H64" i="20"/>
  <c r="AF10" i="9"/>
  <c r="AE27" i="9"/>
  <c r="AF27" i="9"/>
  <c r="AE42" i="9"/>
  <c r="X33" i="9"/>
  <c r="D28" i="19" s="1"/>
  <c r="Q33" i="9"/>
  <c r="AF42" i="9"/>
  <c r="O16" i="9"/>
  <c r="O17" i="9"/>
  <c r="O19" i="9"/>
  <c r="X46" i="9"/>
  <c r="D43" i="19" s="1"/>
  <c r="AD42" i="9"/>
  <c r="D51" i="19" s="1"/>
  <c r="O14" i="9"/>
  <c r="X18" i="9"/>
  <c r="D11" i="19" s="1"/>
  <c r="X36" i="9"/>
  <c r="D31" i="19" s="1"/>
  <c r="X10" i="9"/>
  <c r="D3" i="19" s="1"/>
  <c r="O13" i="9"/>
  <c r="O21" i="9"/>
  <c r="D33" i="19"/>
  <c r="X58" i="9"/>
  <c r="X30" i="9"/>
  <c r="D25" i="19" s="1"/>
  <c r="X61" i="9"/>
  <c r="D59" i="19" s="1"/>
  <c r="X63" i="9"/>
  <c r="D61" i="19" s="1"/>
  <c r="X64" i="9"/>
  <c r="D62" i="19" s="1"/>
  <c r="X66" i="9"/>
  <c r="D64" i="19" s="1"/>
  <c r="X68" i="9"/>
  <c r="D66" i="19" s="1"/>
  <c r="X67" i="9"/>
  <c r="D65" i="19" s="1"/>
  <c r="X59" i="9"/>
  <c r="D57" i="19" s="1"/>
  <c r="X62" i="9"/>
  <c r="D60" i="19" s="1"/>
  <c r="X65" i="9"/>
  <c r="D63" i="19" s="1"/>
  <c r="X60" i="9"/>
  <c r="D58" i="19" s="1"/>
  <c r="X69" i="9"/>
  <c r="D67" i="19" s="1"/>
  <c r="X50" i="9"/>
  <c r="D47" i="19" s="1"/>
  <c r="X51" i="9"/>
  <c r="D48" i="19" s="1"/>
  <c r="X53" i="9"/>
  <c r="X49" i="9"/>
  <c r="D46" i="19" s="1"/>
  <c r="X52" i="9"/>
  <c r="D49" i="19" s="1"/>
  <c r="X45" i="9"/>
  <c r="D42" i="19" s="1"/>
  <c r="X48" i="9"/>
  <c r="D45" i="19" s="1"/>
  <c r="X47" i="9"/>
  <c r="D44" i="19" s="1"/>
  <c r="X44" i="9"/>
  <c r="D41" i="19" s="1"/>
  <c r="X43" i="9"/>
  <c r="D40" i="19" s="1"/>
  <c r="X54" i="9"/>
  <c r="X34" i="9"/>
  <c r="D29" i="19" s="1"/>
  <c r="X29" i="9"/>
  <c r="D24" i="19" s="1"/>
  <c r="X32" i="9"/>
  <c r="D27" i="19" s="1"/>
  <c r="X35" i="9"/>
  <c r="D30" i="19" s="1"/>
  <c r="X28" i="9"/>
  <c r="D23" i="19" s="1"/>
  <c r="X27" i="9"/>
  <c r="D22" i="19" s="1"/>
  <c r="X31" i="9"/>
  <c r="D26" i="19" s="1"/>
  <c r="X37" i="9"/>
  <c r="O12" i="9"/>
  <c r="K16" i="9"/>
  <c r="M16" i="9" s="1"/>
  <c r="O11" i="9"/>
  <c r="X20" i="9"/>
  <c r="D13" i="19" s="1"/>
  <c r="K10" i="9"/>
  <c r="M10" i="9" s="1"/>
  <c r="O15" i="9"/>
  <c r="AC39" i="18" l="1"/>
  <c r="AG38" i="18"/>
  <c r="W39" i="18"/>
  <c r="AF38" i="18"/>
  <c r="AC24" i="18"/>
  <c r="AG23" i="18"/>
  <c r="W25" i="18"/>
  <c r="AF24" i="18"/>
  <c r="AC10" i="18"/>
  <c r="AG9" i="18"/>
  <c r="AF9" i="18"/>
  <c r="W10" i="18"/>
  <c r="W57" i="18"/>
  <c r="AF56" i="18"/>
  <c r="AC57" i="18"/>
  <c r="AG56" i="18"/>
  <c r="Q21" i="9"/>
  <c r="H25" i="20"/>
  <c r="Q19" i="9"/>
  <c r="H23" i="20"/>
  <c r="B51" i="20"/>
  <c r="D34" i="19"/>
  <c r="I22" i="20"/>
  <c r="J22" i="20" s="1"/>
  <c r="I63" i="20"/>
  <c r="J63" i="20" s="1"/>
  <c r="K63" i="20"/>
  <c r="K65" i="20"/>
  <c r="I65" i="20"/>
  <c r="J65" i="20" s="1"/>
  <c r="I57" i="20"/>
  <c r="J57" i="20" s="1"/>
  <c r="K57" i="20"/>
  <c r="P56" i="20" s="1"/>
  <c r="Q56" i="20" s="1"/>
  <c r="K40" i="20"/>
  <c r="I40" i="20"/>
  <c r="J40" i="20" s="1"/>
  <c r="K66" i="20"/>
  <c r="I66" i="20"/>
  <c r="J66" i="20" s="1"/>
  <c r="I41" i="20"/>
  <c r="J41" i="20" s="1"/>
  <c r="K41" i="20"/>
  <c r="Q13" i="9"/>
  <c r="H17" i="20"/>
  <c r="Q14" i="9"/>
  <c r="H18" i="20"/>
  <c r="Q17" i="9"/>
  <c r="H21" i="20"/>
  <c r="K22" i="20" s="1"/>
  <c r="B29" i="20"/>
  <c r="D18" i="19"/>
  <c r="Q15" i="9"/>
  <c r="H19" i="20"/>
  <c r="Q12" i="9"/>
  <c r="H16" i="20"/>
  <c r="K60" i="20"/>
  <c r="I60" i="20"/>
  <c r="J60" i="20" s="1"/>
  <c r="I43" i="20"/>
  <c r="J43" i="20" s="1"/>
  <c r="K43" i="20"/>
  <c r="I45" i="20"/>
  <c r="J45" i="20" s="1"/>
  <c r="K45" i="20"/>
  <c r="I38" i="20"/>
  <c r="J38" i="20" s="1"/>
  <c r="K38" i="20"/>
  <c r="Q11" i="9"/>
  <c r="H15" i="20"/>
  <c r="Q16" i="9"/>
  <c r="H20" i="20"/>
  <c r="B72" i="20"/>
  <c r="D52" i="19"/>
  <c r="K64" i="20"/>
  <c r="P63" i="20" s="1"/>
  <c r="Q63" i="20" s="1"/>
  <c r="I64" i="20"/>
  <c r="J64" i="20" s="1"/>
  <c r="K46" i="20"/>
  <c r="I39" i="20"/>
  <c r="J39" i="20" s="1"/>
  <c r="K39" i="20"/>
  <c r="K62" i="20"/>
  <c r="I62" i="20"/>
  <c r="J62" i="20" s="1"/>
  <c r="I24" i="20"/>
  <c r="J24" i="20" s="1"/>
  <c r="K59" i="20"/>
  <c r="I59" i="20"/>
  <c r="J59" i="20" s="1"/>
  <c r="K61" i="20"/>
  <c r="P60" i="20" s="1"/>
  <c r="Q60" i="20" s="1"/>
  <c r="I61" i="20"/>
  <c r="J61" i="20" s="1"/>
  <c r="K44" i="20"/>
  <c r="I44" i="20"/>
  <c r="J44" i="20" s="1"/>
  <c r="K67" i="20"/>
  <c r="P66" i="20" s="1"/>
  <c r="Q66" i="20" s="1"/>
  <c r="I67" i="20"/>
  <c r="K58" i="20"/>
  <c r="P57" i="20" s="1"/>
  <c r="Q57" i="20" s="1"/>
  <c r="I58" i="20"/>
  <c r="J58" i="20" s="1"/>
  <c r="K37" i="20"/>
  <c r="P36" i="20" s="1"/>
  <c r="Q36" i="20" s="1"/>
  <c r="I37" i="20"/>
  <c r="J37" i="20" s="1"/>
  <c r="B70" i="20"/>
  <c r="D53" i="19"/>
  <c r="B49" i="20"/>
  <c r="D35" i="19"/>
  <c r="AE10" i="9"/>
  <c r="AD10" i="9"/>
  <c r="D16" i="19" s="1"/>
  <c r="C8" i="3"/>
  <c r="B8" i="3"/>
  <c r="W40" i="18" l="1"/>
  <c r="AF39" i="18"/>
  <c r="AC40" i="18"/>
  <c r="AG39" i="18"/>
  <c r="W26" i="18"/>
  <c r="AF25" i="18"/>
  <c r="AC25" i="18"/>
  <c r="AG24" i="18"/>
  <c r="W11" i="18"/>
  <c r="AF10" i="18"/>
  <c r="AC11" i="18"/>
  <c r="AG10" i="18"/>
  <c r="AC58" i="18"/>
  <c r="AG57" i="18"/>
  <c r="W58" i="18"/>
  <c r="AF57" i="18"/>
  <c r="A51" i="20"/>
  <c r="C51" i="20" s="1"/>
  <c r="P37" i="20"/>
  <c r="Q37" i="20" s="1"/>
  <c r="P40" i="20"/>
  <c r="Q40" i="20" s="1"/>
  <c r="P45" i="20"/>
  <c r="Q45" i="20" s="1"/>
  <c r="P65" i="20"/>
  <c r="Q65" i="20" s="1"/>
  <c r="P39" i="20"/>
  <c r="Q39" i="20" s="1"/>
  <c r="P38" i="20"/>
  <c r="Q38" i="20" s="1"/>
  <c r="P43" i="20"/>
  <c r="Q43" i="20" s="1"/>
  <c r="P42" i="20"/>
  <c r="Q42" i="20" s="1"/>
  <c r="I16" i="20"/>
  <c r="J16" i="20" s="1"/>
  <c r="K16" i="20"/>
  <c r="K18" i="20"/>
  <c r="I18" i="20"/>
  <c r="J18" i="20" s="1"/>
  <c r="I23" i="20"/>
  <c r="J23" i="20" s="1"/>
  <c r="K23" i="20"/>
  <c r="P22" i="20" s="1"/>
  <c r="Q22" i="20" s="1"/>
  <c r="P64" i="20"/>
  <c r="Q64" i="20" s="1"/>
  <c r="K24" i="20"/>
  <c r="I15" i="20"/>
  <c r="J15" i="20" s="1"/>
  <c r="K15" i="20"/>
  <c r="Q14" i="20" s="1"/>
  <c r="P44" i="20"/>
  <c r="Q44" i="20" s="1"/>
  <c r="I19" i="20"/>
  <c r="J19" i="20" s="1"/>
  <c r="K19" i="20"/>
  <c r="I21" i="20"/>
  <c r="J21" i="20" s="1"/>
  <c r="K21" i="20"/>
  <c r="P21" i="20" s="1"/>
  <c r="Q21" i="20" s="1"/>
  <c r="I17" i="20"/>
  <c r="J17" i="20" s="1"/>
  <c r="K17" i="20"/>
  <c r="P62" i="20"/>
  <c r="Q62" i="20" s="1"/>
  <c r="I25" i="20"/>
  <c r="J25" i="20" s="1"/>
  <c r="K25" i="20"/>
  <c r="P24" i="20" s="1"/>
  <c r="Q24" i="20" s="1"/>
  <c r="K26" i="20"/>
  <c r="B31" i="20"/>
  <c r="D17" i="19"/>
  <c r="P58" i="20"/>
  <c r="Q58" i="20" s="1"/>
  <c r="P61" i="20"/>
  <c r="Q61" i="20" s="1"/>
  <c r="I20" i="20"/>
  <c r="J20" i="20" s="1"/>
  <c r="K20" i="20"/>
  <c r="P41" i="20"/>
  <c r="Q41" i="20" s="1"/>
  <c r="P59" i="20"/>
  <c r="Q59" i="20" s="1"/>
  <c r="A72" i="20"/>
  <c r="C72" i="20" s="1"/>
  <c r="R53" i="1"/>
  <c r="R54" i="1"/>
  <c r="R55" i="1"/>
  <c r="R56" i="1"/>
  <c r="R57" i="1"/>
  <c r="R58" i="1"/>
  <c r="R59" i="1"/>
  <c r="R60" i="1"/>
  <c r="R61" i="1"/>
  <c r="R62" i="1"/>
  <c r="R63" i="1"/>
  <c r="R64" i="1"/>
  <c r="R65" i="1"/>
  <c r="R52" i="1"/>
  <c r="R36" i="1"/>
  <c r="R37" i="1"/>
  <c r="R38" i="1"/>
  <c r="R39" i="1"/>
  <c r="R40" i="1"/>
  <c r="R41" i="1"/>
  <c r="R42" i="1"/>
  <c r="R43" i="1"/>
  <c r="R44" i="1"/>
  <c r="R45" i="1"/>
  <c r="R46" i="1"/>
  <c r="R47" i="1"/>
  <c r="R48" i="1"/>
  <c r="R35" i="1"/>
  <c r="AC41" i="18" l="1"/>
  <c r="AG40" i="18"/>
  <c r="W41" i="18"/>
  <c r="AF40" i="18"/>
  <c r="AC26" i="18"/>
  <c r="AG25" i="18"/>
  <c r="W27" i="18"/>
  <c r="AF26" i="18"/>
  <c r="AC12" i="18"/>
  <c r="AG11" i="18"/>
  <c r="W12" i="18"/>
  <c r="AF11" i="18"/>
  <c r="W59" i="18"/>
  <c r="AF59" i="18" s="1"/>
  <c r="AF58" i="18"/>
  <c r="AC59" i="18"/>
  <c r="AG59" i="18" s="1"/>
  <c r="AG58" i="18"/>
  <c r="P19" i="20"/>
  <c r="Q19" i="20" s="1"/>
  <c r="A49" i="20"/>
  <c r="C49" i="20" s="1"/>
  <c r="A70" i="20"/>
  <c r="C70" i="20" s="1"/>
  <c r="P16" i="20"/>
  <c r="Q16" i="20" s="1"/>
  <c r="P18" i="20"/>
  <c r="Q18" i="20" s="1"/>
  <c r="P15" i="20"/>
  <c r="Q15" i="20" s="1"/>
  <c r="C31" i="20"/>
  <c r="P25" i="20"/>
  <c r="Q25" i="20" s="1"/>
  <c r="P17" i="20"/>
  <c r="Q17" i="20" s="1"/>
  <c r="P20" i="20"/>
  <c r="Q20" i="20" s="1"/>
  <c r="P23" i="20"/>
  <c r="Q23" i="20" s="1"/>
  <c r="W42" i="18" l="1"/>
  <c r="AF41" i="18"/>
  <c r="AC42" i="18"/>
  <c r="AG41" i="18"/>
  <c r="W28" i="18"/>
  <c r="AF28" i="18" s="1"/>
  <c r="AF27" i="18"/>
  <c r="AC27" i="18"/>
  <c r="AG26" i="18"/>
  <c r="W13" i="18"/>
  <c r="AF12" i="18"/>
  <c r="AC13" i="18"/>
  <c r="AG12" i="18"/>
  <c r="A29" i="20"/>
  <c r="C29" i="20"/>
  <c r="AC43" i="18" l="1"/>
  <c r="AG43" i="18" s="1"/>
  <c r="AG42" i="18"/>
  <c r="W43" i="18"/>
  <c r="AF43" i="18" s="1"/>
  <c r="AF42" i="18"/>
  <c r="AC28" i="18"/>
  <c r="AG28" i="18" s="1"/>
  <c r="AG27" i="18"/>
  <c r="AC14" i="18"/>
  <c r="AG14" i="18" s="1"/>
  <c r="AG13" i="18"/>
  <c r="AF13" i="18"/>
  <c r="W14" i="18"/>
  <c r="AF14" i="18" s="1"/>
  <c r="A75" i="12"/>
  <c r="A76" i="12" s="1"/>
  <c r="A77" i="12" s="1"/>
  <c r="A78" i="12" s="1"/>
  <c r="A79" i="12" s="1"/>
  <c r="A80" i="12" s="1"/>
  <c r="A81" i="12" s="1"/>
  <c r="A82" i="12" s="1"/>
  <c r="A83" i="12" s="1"/>
  <c r="A84" i="12" s="1"/>
  <c r="A85" i="12" s="1"/>
  <c r="A51" i="12"/>
  <c r="A50" i="12"/>
  <c r="A49" i="12"/>
  <c r="A48" i="12"/>
  <c r="A47" i="12"/>
  <c r="A46" i="12"/>
  <c r="A45" i="12"/>
  <c r="A44" i="12"/>
  <c r="A43" i="12"/>
  <c r="A42" i="12"/>
  <c r="A41" i="12"/>
  <c r="A40" i="12"/>
  <c r="A39" i="12"/>
  <c r="T30" i="12" l="1"/>
  <c r="C11" i="19" s="1"/>
  <c r="T27" i="12"/>
  <c r="C8" i="19" s="1"/>
  <c r="T24" i="12"/>
  <c r="C5" i="19" s="1"/>
  <c r="T31" i="12"/>
  <c r="C12" i="19" s="1"/>
  <c r="T28" i="12"/>
  <c r="C9" i="19" s="1"/>
  <c r="T32" i="12"/>
  <c r="C13" i="19" s="1"/>
  <c r="T76" i="12"/>
  <c r="C59" i="19" s="1"/>
  <c r="T23" i="12"/>
  <c r="C4" i="19" s="1"/>
  <c r="T64" i="12"/>
  <c r="C46" i="19" s="1"/>
  <c r="T81" i="12" l="1"/>
  <c r="C64" i="19" s="1"/>
  <c r="T83" i="12"/>
  <c r="C66" i="19" s="1"/>
  <c r="T67" i="12"/>
  <c r="C49" i="19" s="1"/>
  <c r="T59" i="12"/>
  <c r="C41" i="19" s="1"/>
  <c r="T62" i="12"/>
  <c r="C44" i="19" s="1"/>
  <c r="T60" i="12"/>
  <c r="C42" i="19" s="1"/>
  <c r="T78" i="12"/>
  <c r="C61" i="19" s="1"/>
  <c r="T80" i="12"/>
  <c r="C63" i="19" s="1"/>
  <c r="T75" i="12"/>
  <c r="C58" i="19" s="1"/>
  <c r="T58" i="12"/>
  <c r="C40" i="19" s="1"/>
  <c r="T63" i="12"/>
  <c r="C45" i="19" s="1"/>
  <c r="T43" i="12"/>
  <c r="C26" i="19" s="1"/>
  <c r="T48" i="12"/>
  <c r="C31" i="19" s="1"/>
  <c r="T84" i="12"/>
  <c r="C67" i="19" s="1"/>
  <c r="T42" i="12"/>
  <c r="C25" i="19" s="1"/>
  <c r="T41" i="12"/>
  <c r="C24" i="19" s="1"/>
  <c r="T44" i="12"/>
  <c r="C27" i="19" s="1"/>
  <c r="T46" i="12"/>
  <c r="C29" i="19" s="1"/>
  <c r="T47" i="12"/>
  <c r="C30" i="19" s="1"/>
  <c r="T39" i="12"/>
  <c r="C22" i="19" s="1"/>
  <c r="T66" i="12"/>
  <c r="C48" i="19" s="1"/>
  <c r="T25" i="12"/>
  <c r="C6" i="19" s="1"/>
  <c r="T77" i="12"/>
  <c r="C60" i="19" s="1"/>
  <c r="T26" i="12"/>
  <c r="C7" i="19" s="1"/>
  <c r="T29" i="12"/>
  <c r="C10" i="19" s="1"/>
  <c r="T33" i="12"/>
  <c r="C14" i="19" s="1"/>
  <c r="T61" i="12"/>
  <c r="C43" i="19" s="1"/>
  <c r="T79" i="12"/>
  <c r="C62" i="19" s="1"/>
  <c r="T87" i="12"/>
  <c r="C69" i="19" s="1"/>
  <c r="T45" i="12"/>
  <c r="C28" i="19" s="1"/>
  <c r="T40" i="12"/>
  <c r="C23" i="19" s="1"/>
  <c r="T65" i="12"/>
  <c r="C47" i="19" s="1"/>
  <c r="T53" i="12"/>
  <c r="C33" i="19" s="1"/>
  <c r="T35" i="12"/>
  <c r="C16" i="19" s="1"/>
  <c r="T57" i="12"/>
  <c r="C39" i="19" s="1"/>
  <c r="T82" i="12"/>
  <c r="C65" i="19" s="1"/>
  <c r="F146" i="10" l="1"/>
  <c r="F145" i="10"/>
  <c r="E152" i="10" s="1"/>
  <c r="F6" i="10"/>
  <c r="F5" i="10"/>
  <c r="M86" i="9" l="1"/>
  <c r="M85" i="9"/>
  <c r="M84" i="9"/>
  <c r="M83" i="9"/>
  <c r="M82" i="9"/>
  <c r="M81" i="9"/>
  <c r="M80" i="9"/>
  <c r="M79" i="9"/>
  <c r="M78" i="9"/>
  <c r="M77" i="9"/>
  <c r="M76" i="9"/>
  <c r="M75" i="9"/>
  <c r="H86" i="9"/>
  <c r="H85" i="9"/>
  <c r="H84" i="9"/>
  <c r="H83" i="9"/>
  <c r="H82" i="9"/>
  <c r="H81" i="9"/>
  <c r="H80" i="9"/>
  <c r="H79" i="9"/>
  <c r="H78" i="9"/>
  <c r="H77" i="9"/>
  <c r="H76" i="9"/>
  <c r="H75" i="9"/>
  <c r="C86" i="9"/>
  <c r="C85" i="9"/>
  <c r="C84" i="9"/>
  <c r="C83" i="9"/>
  <c r="C82" i="9"/>
  <c r="C81" i="9"/>
  <c r="C80" i="9"/>
  <c r="C79" i="9"/>
  <c r="C78" i="9"/>
  <c r="C77" i="9"/>
  <c r="C76" i="9"/>
  <c r="C75" i="9"/>
  <c r="M174" i="9"/>
  <c r="H174" i="9"/>
  <c r="C174" i="9"/>
  <c r="M173" i="9"/>
  <c r="H173" i="9"/>
  <c r="C173" i="9"/>
  <c r="M172" i="9"/>
  <c r="H172" i="9"/>
  <c r="C172" i="9"/>
  <c r="M171" i="9"/>
  <c r="H171" i="9"/>
  <c r="C171" i="9"/>
  <c r="M170" i="9"/>
  <c r="H170" i="9"/>
  <c r="C170" i="9"/>
  <c r="M169" i="9"/>
  <c r="H169" i="9"/>
  <c r="C169" i="9"/>
  <c r="M168" i="9"/>
  <c r="H168" i="9"/>
  <c r="C168" i="9"/>
  <c r="M167" i="9"/>
  <c r="H167" i="9"/>
  <c r="C167" i="9"/>
  <c r="M166" i="9"/>
  <c r="H166" i="9"/>
  <c r="C166" i="9"/>
  <c r="M165" i="9"/>
  <c r="H165" i="9"/>
  <c r="C165" i="9"/>
  <c r="M164" i="9"/>
  <c r="H164" i="9"/>
  <c r="C164" i="9"/>
  <c r="M163" i="9"/>
  <c r="H163" i="9"/>
  <c r="C163" i="9"/>
  <c r="M162" i="9"/>
  <c r="H162" i="9"/>
  <c r="C162" i="9"/>
  <c r="M144" i="9"/>
  <c r="H144" i="9"/>
  <c r="C144" i="9"/>
  <c r="M143" i="9"/>
  <c r="H143" i="9"/>
  <c r="C143" i="9"/>
  <c r="M142" i="9"/>
  <c r="H142" i="9"/>
  <c r="C142" i="9"/>
  <c r="M141" i="9"/>
  <c r="H141" i="9"/>
  <c r="C141" i="9"/>
  <c r="M140" i="9"/>
  <c r="H140" i="9"/>
  <c r="C140" i="9"/>
  <c r="M139" i="9"/>
  <c r="H139" i="9"/>
  <c r="C139" i="9"/>
  <c r="M138" i="9"/>
  <c r="H138" i="9"/>
  <c r="C138" i="9"/>
  <c r="M137" i="9"/>
  <c r="H137" i="9"/>
  <c r="C137" i="9"/>
  <c r="M136" i="9"/>
  <c r="H136" i="9"/>
  <c r="C136" i="9"/>
  <c r="M135" i="9"/>
  <c r="H135" i="9"/>
  <c r="C135" i="9"/>
  <c r="M134" i="9"/>
  <c r="H134" i="9"/>
  <c r="C134" i="9"/>
  <c r="M116" i="9"/>
  <c r="H116" i="9"/>
  <c r="C116" i="9"/>
  <c r="M115" i="9"/>
  <c r="H115" i="9"/>
  <c r="C115" i="9"/>
  <c r="M114" i="9"/>
  <c r="H114" i="9"/>
  <c r="C114" i="9"/>
  <c r="M113" i="9"/>
  <c r="H113" i="9"/>
  <c r="C113" i="9"/>
  <c r="M112" i="9"/>
  <c r="H112" i="9"/>
  <c r="C112" i="9"/>
  <c r="M111" i="9"/>
  <c r="H111" i="9"/>
  <c r="C111" i="9"/>
  <c r="M110" i="9"/>
  <c r="H110" i="9"/>
  <c r="C110" i="9"/>
  <c r="M109" i="9"/>
  <c r="H109" i="9"/>
  <c r="C109" i="9"/>
  <c r="M108" i="9"/>
  <c r="H108" i="9"/>
  <c r="C108" i="9"/>
  <c r="M107" i="9"/>
  <c r="H107" i="9"/>
  <c r="C107" i="9"/>
  <c r="M106" i="9"/>
  <c r="H106" i="9"/>
  <c r="C106" i="9"/>
  <c r="M105" i="9"/>
  <c r="H105" i="9"/>
  <c r="C105" i="9"/>
  <c r="E144" i="9" l="1"/>
  <c r="F144" i="9" s="1"/>
  <c r="J144" i="9"/>
  <c r="K144" i="9" s="1"/>
  <c r="O144" i="9"/>
  <c r="P144" i="9" s="1"/>
  <c r="E75" i="9"/>
  <c r="F75" i="9" s="1"/>
  <c r="E87" i="9"/>
  <c r="F87" i="9" s="1"/>
  <c r="J75" i="9"/>
  <c r="K75" i="9" s="1"/>
  <c r="J87" i="9"/>
  <c r="K87" i="9" s="1"/>
  <c r="O75" i="9"/>
  <c r="P75" i="9" s="1"/>
  <c r="O87" i="9"/>
  <c r="P87" i="9" s="1"/>
  <c r="O104" i="9"/>
  <c r="P104" i="9" s="1"/>
  <c r="J104" i="9"/>
  <c r="K104" i="9" s="1"/>
  <c r="E104" i="9"/>
  <c r="F104" i="9" s="1"/>
  <c r="O137" i="9"/>
  <c r="P137" i="9" s="1"/>
  <c r="O141" i="9"/>
  <c r="P141" i="9" s="1"/>
  <c r="O139" i="9"/>
  <c r="P139" i="9" s="1"/>
  <c r="O134" i="9"/>
  <c r="P134" i="9" s="1"/>
  <c r="O138" i="9"/>
  <c r="P138" i="9" s="1"/>
  <c r="O142" i="9"/>
  <c r="P142" i="9" s="1"/>
  <c r="O135" i="9"/>
  <c r="P135" i="9" s="1"/>
  <c r="O143" i="9"/>
  <c r="P143" i="9" s="1"/>
  <c r="O140" i="9"/>
  <c r="P140" i="9" s="1"/>
  <c r="O136" i="9"/>
  <c r="P136" i="9" s="1"/>
  <c r="O163" i="9"/>
  <c r="P163" i="9" s="1"/>
  <c r="O167" i="9"/>
  <c r="P167" i="9" s="1"/>
  <c r="O171" i="9"/>
  <c r="P171" i="9" s="1"/>
  <c r="O165" i="9"/>
  <c r="P165" i="9" s="1"/>
  <c r="O166" i="9"/>
  <c r="O164" i="9"/>
  <c r="P164" i="9" s="1"/>
  <c r="O168" i="9"/>
  <c r="P168" i="9" s="1"/>
  <c r="O172" i="9"/>
  <c r="P172" i="9" s="1"/>
  <c r="O169" i="9"/>
  <c r="P169" i="9" s="1"/>
  <c r="O170" i="9"/>
  <c r="P170" i="9" s="1"/>
  <c r="O173" i="9"/>
  <c r="P173" i="9" s="1"/>
  <c r="O162" i="9"/>
  <c r="P162" i="9" s="1"/>
  <c r="P166" i="9"/>
  <c r="J168" i="9"/>
  <c r="K168" i="9" s="1"/>
  <c r="J167" i="9"/>
  <c r="K167" i="9" s="1"/>
  <c r="J169" i="9"/>
  <c r="K169" i="9" s="1"/>
  <c r="J170" i="9"/>
  <c r="K170" i="9" s="1"/>
  <c r="J166" i="9"/>
  <c r="K166" i="9" s="1"/>
  <c r="J163" i="9"/>
  <c r="K163" i="9" s="1"/>
  <c r="J171" i="9"/>
  <c r="K171" i="9" s="1"/>
  <c r="J164" i="9"/>
  <c r="K164" i="9" s="1"/>
  <c r="J172" i="9"/>
  <c r="K172" i="9" s="1"/>
  <c r="J173" i="9"/>
  <c r="K173" i="9" s="1"/>
  <c r="J162" i="9"/>
  <c r="K162" i="9" s="1"/>
  <c r="J165" i="9"/>
  <c r="K165" i="9" s="1"/>
  <c r="E168" i="9"/>
  <c r="F168" i="9" s="1"/>
  <c r="E171" i="9"/>
  <c r="F171" i="9" s="1"/>
  <c r="E169" i="9"/>
  <c r="F169" i="9" s="1"/>
  <c r="E162" i="9"/>
  <c r="F162" i="9" s="1"/>
  <c r="E170" i="9"/>
  <c r="F170" i="9" s="1"/>
  <c r="E163" i="9"/>
  <c r="F163" i="9" s="1"/>
  <c r="E167" i="9"/>
  <c r="F167" i="9" s="1"/>
  <c r="E164" i="9"/>
  <c r="F164" i="9" s="1"/>
  <c r="E172" i="9"/>
  <c r="F172" i="9" s="1"/>
  <c r="E173" i="9"/>
  <c r="F173" i="9" s="1"/>
  <c r="E166" i="9"/>
  <c r="F166" i="9" s="1"/>
  <c r="E165" i="9"/>
  <c r="F165" i="9" s="1"/>
  <c r="E138" i="9"/>
  <c r="F138" i="9" s="1"/>
  <c r="E136" i="9"/>
  <c r="F136" i="9" s="1"/>
  <c r="E139" i="9"/>
  <c r="F139" i="9" s="1"/>
  <c r="E134" i="9"/>
  <c r="F134" i="9" s="1"/>
  <c r="E140" i="9"/>
  <c r="F140" i="9" s="1"/>
  <c r="E141" i="9"/>
  <c r="F141" i="9" s="1"/>
  <c r="E142" i="9"/>
  <c r="F142" i="9" s="1"/>
  <c r="E143" i="9"/>
  <c r="F143" i="9" s="1"/>
  <c r="E135" i="9"/>
  <c r="F135" i="9" s="1"/>
  <c r="E137" i="9"/>
  <c r="F137" i="9" s="1"/>
  <c r="J137" i="9"/>
  <c r="K137" i="9" s="1"/>
  <c r="J138" i="9"/>
  <c r="K138" i="9" s="1"/>
  <c r="J134" i="9"/>
  <c r="K134" i="9" s="1"/>
  <c r="J139" i="9"/>
  <c r="K139" i="9" s="1"/>
  <c r="J141" i="9"/>
  <c r="K141" i="9" s="1"/>
  <c r="J143" i="9"/>
  <c r="K143" i="9" s="1"/>
  <c r="J140" i="9"/>
  <c r="K140" i="9" s="1"/>
  <c r="J135" i="9"/>
  <c r="K135" i="9" s="1"/>
  <c r="J136" i="9"/>
  <c r="K136" i="9" s="1"/>
  <c r="J142" i="9"/>
  <c r="K142" i="9" s="1"/>
  <c r="E108" i="9"/>
  <c r="F108" i="9" s="1"/>
  <c r="E112" i="9"/>
  <c r="F112" i="9" s="1"/>
  <c r="E106" i="9"/>
  <c r="F106" i="9" s="1"/>
  <c r="E114" i="9"/>
  <c r="F114" i="9" s="1"/>
  <c r="E111" i="9"/>
  <c r="F111" i="9" s="1"/>
  <c r="E109" i="9"/>
  <c r="F109" i="9" s="1"/>
  <c r="E113" i="9"/>
  <c r="F113" i="9" s="1"/>
  <c r="E105" i="9"/>
  <c r="F105" i="9" s="1"/>
  <c r="E110" i="9"/>
  <c r="F110" i="9" s="1"/>
  <c r="E107" i="9"/>
  <c r="F107" i="9" s="1"/>
  <c r="E115" i="9"/>
  <c r="F115" i="9" s="1"/>
  <c r="J109" i="9"/>
  <c r="K109" i="9" s="1"/>
  <c r="J113" i="9"/>
  <c r="K113" i="9" s="1"/>
  <c r="J111" i="9"/>
  <c r="K111" i="9" s="1"/>
  <c r="J108" i="9"/>
  <c r="K108" i="9" s="1"/>
  <c r="J105" i="9"/>
  <c r="K105" i="9" s="1"/>
  <c r="J106" i="9"/>
  <c r="K106" i="9" s="1"/>
  <c r="J110" i="9"/>
  <c r="K110" i="9" s="1"/>
  <c r="J114" i="9"/>
  <c r="K114" i="9" s="1"/>
  <c r="J107" i="9"/>
  <c r="K107" i="9" s="1"/>
  <c r="J115" i="9"/>
  <c r="K115" i="9" s="1"/>
  <c r="J112" i="9"/>
  <c r="K112" i="9" s="1"/>
  <c r="J77" i="9"/>
  <c r="K77" i="9" s="1"/>
  <c r="J81" i="9"/>
  <c r="K81" i="9" s="1"/>
  <c r="J85" i="9"/>
  <c r="K85" i="9" s="1"/>
  <c r="J79" i="9"/>
  <c r="K79" i="9" s="1"/>
  <c r="J83" i="9"/>
  <c r="K83" i="9" s="1"/>
  <c r="J76" i="9"/>
  <c r="K76" i="9" s="1"/>
  <c r="J84" i="9"/>
  <c r="K84" i="9" s="1"/>
  <c r="J78" i="9"/>
  <c r="K78" i="9" s="1"/>
  <c r="J82" i="9"/>
  <c r="K82" i="9" s="1"/>
  <c r="J86" i="9"/>
  <c r="K86" i="9" s="1"/>
  <c r="J80" i="9"/>
  <c r="K80" i="9" s="1"/>
  <c r="O77" i="9"/>
  <c r="P77" i="9" s="1"/>
  <c r="O81" i="9"/>
  <c r="P81" i="9" s="1"/>
  <c r="O85" i="9"/>
  <c r="P85" i="9" s="1"/>
  <c r="O79" i="9"/>
  <c r="P79" i="9" s="1"/>
  <c r="O83" i="9"/>
  <c r="P83" i="9" s="1"/>
  <c r="O76" i="9"/>
  <c r="P76" i="9" s="1"/>
  <c r="O80" i="9"/>
  <c r="P80" i="9" s="1"/>
  <c r="O78" i="9"/>
  <c r="P78" i="9" s="1"/>
  <c r="O82" i="9"/>
  <c r="P82" i="9" s="1"/>
  <c r="O86" i="9"/>
  <c r="P86" i="9" s="1"/>
  <c r="O84" i="9"/>
  <c r="P84" i="9" s="1"/>
  <c r="O106" i="9"/>
  <c r="P106" i="9" s="1"/>
  <c r="O110" i="9"/>
  <c r="P110" i="9" s="1"/>
  <c r="O114" i="9"/>
  <c r="P114" i="9" s="1"/>
  <c r="O108" i="9"/>
  <c r="P108" i="9" s="1"/>
  <c r="O105" i="9"/>
  <c r="P105" i="9" s="1"/>
  <c r="O109" i="9"/>
  <c r="P109" i="9" s="1"/>
  <c r="O107" i="9"/>
  <c r="P107" i="9" s="1"/>
  <c r="O111" i="9"/>
  <c r="P111" i="9" s="1"/>
  <c r="O115" i="9"/>
  <c r="P115" i="9" s="1"/>
  <c r="O112" i="9"/>
  <c r="P112" i="9" s="1"/>
  <c r="O113" i="9"/>
  <c r="P113" i="9" s="1"/>
  <c r="E77" i="9"/>
  <c r="F77" i="9" s="1"/>
  <c r="E81" i="9"/>
  <c r="F81" i="9" s="1"/>
  <c r="E85" i="9"/>
  <c r="F85" i="9" s="1"/>
  <c r="E78" i="9"/>
  <c r="F78" i="9" s="1"/>
  <c r="E82" i="9"/>
  <c r="F82" i="9" s="1"/>
  <c r="E86" i="9"/>
  <c r="F86" i="9" s="1"/>
  <c r="E79" i="9"/>
  <c r="F79" i="9" s="1"/>
  <c r="E83" i="9"/>
  <c r="F83" i="9" s="1"/>
  <c r="E76" i="9"/>
  <c r="F76" i="9" s="1"/>
  <c r="E80" i="9"/>
  <c r="F80" i="9" s="1"/>
  <c r="E84" i="9"/>
  <c r="F84" i="9" s="1"/>
  <c r="J91" i="9" l="1"/>
  <c r="L120" i="9"/>
  <c r="L118" i="9"/>
  <c r="L178" i="9"/>
  <c r="L148" i="9"/>
  <c r="L177" i="9"/>
  <c r="L176" i="9"/>
  <c r="L146" i="9"/>
  <c r="L147" i="9"/>
  <c r="L119" i="9"/>
  <c r="J90" i="9"/>
  <c r="J89" i="9"/>
  <c r="A54" i="1" l="1"/>
  <c r="A55" i="1" s="1"/>
  <c r="A56" i="1" s="1"/>
  <c r="A57" i="1" s="1"/>
  <c r="A58" i="1" s="1"/>
  <c r="A59" i="1" s="1"/>
  <c r="A60" i="1" s="1"/>
  <c r="A61" i="1" s="1"/>
  <c r="A62" i="1" s="1"/>
  <c r="A63" i="1" s="1"/>
  <c r="A64" i="1" s="1"/>
  <c r="A65" i="1" s="1"/>
  <c r="A31" i="1"/>
  <c r="A30" i="1"/>
  <c r="A29" i="1"/>
  <c r="A28" i="1"/>
  <c r="A27" i="1"/>
  <c r="A26" i="1"/>
  <c r="A25" i="1"/>
  <c r="A24" i="1"/>
  <c r="A23" i="1"/>
  <c r="A22" i="1"/>
  <c r="A21" i="1"/>
  <c r="A20" i="1"/>
  <c r="C220" i="6"/>
  <c r="B220" i="6"/>
  <c r="C219" i="6"/>
  <c r="B219" i="6"/>
  <c r="C218" i="6"/>
  <c r="B218" i="6"/>
  <c r="C217" i="6"/>
  <c r="B217" i="6"/>
  <c r="C216" i="6"/>
  <c r="B216" i="6"/>
  <c r="C215" i="6"/>
  <c r="B215" i="6"/>
  <c r="C214" i="6"/>
  <c r="B214" i="6"/>
  <c r="C213" i="6"/>
  <c r="B213" i="6"/>
  <c r="C212" i="6"/>
  <c r="B212" i="6"/>
  <c r="C211" i="6"/>
  <c r="B211" i="6"/>
  <c r="C210" i="6"/>
  <c r="B210" i="6"/>
  <c r="C209" i="6"/>
  <c r="B209" i="6"/>
  <c r="C208" i="6"/>
  <c r="B208" i="6"/>
  <c r="C207" i="6"/>
  <c r="B207" i="6"/>
  <c r="C206" i="6"/>
  <c r="B206" i="6"/>
  <c r="C205" i="6"/>
  <c r="B205" i="6"/>
  <c r="C204" i="6"/>
  <c r="B204" i="6"/>
  <c r="C203" i="6"/>
  <c r="B203" i="6"/>
  <c r="C202" i="6"/>
  <c r="B202" i="6"/>
  <c r="C201" i="6"/>
  <c r="B201" i="6"/>
  <c r="C200" i="6"/>
  <c r="B200" i="6"/>
  <c r="C199" i="6"/>
  <c r="B199" i="6"/>
  <c r="C198" i="6"/>
  <c r="B198" i="6"/>
  <c r="C197" i="6"/>
  <c r="B197" i="6"/>
  <c r="C196" i="6"/>
  <c r="B196" i="6"/>
  <c r="C195" i="6"/>
  <c r="B195" i="6"/>
  <c r="C194" i="6"/>
  <c r="B194" i="6"/>
  <c r="C193" i="6"/>
  <c r="B193" i="6"/>
  <c r="C192" i="6"/>
  <c r="B192" i="6"/>
  <c r="C191" i="6"/>
  <c r="B191" i="6"/>
  <c r="C190" i="6"/>
  <c r="B190" i="6"/>
  <c r="C189" i="6"/>
  <c r="B189" i="6"/>
  <c r="C188" i="6"/>
  <c r="B188" i="6"/>
  <c r="C187" i="6"/>
  <c r="B187" i="6"/>
  <c r="C186" i="6"/>
  <c r="B186" i="6"/>
  <c r="C185" i="6"/>
  <c r="B185" i="6"/>
  <c r="C184" i="6"/>
  <c r="B184" i="6"/>
  <c r="C183" i="6"/>
  <c r="B183" i="6"/>
  <c r="C182" i="6"/>
  <c r="B182" i="6"/>
  <c r="C181" i="6"/>
  <c r="B181" i="6"/>
  <c r="C180" i="6"/>
  <c r="B180" i="6"/>
  <c r="C179" i="6"/>
  <c r="B179" i="6"/>
  <c r="C178" i="6"/>
  <c r="B178" i="6"/>
  <c r="C177" i="6"/>
  <c r="B177" i="6"/>
  <c r="C176" i="6"/>
  <c r="B176" i="6"/>
  <c r="C175" i="6"/>
  <c r="B175" i="6"/>
  <c r="C174" i="6"/>
  <c r="B174" i="6"/>
  <c r="C173" i="6"/>
  <c r="B173" i="6"/>
  <c r="C172" i="6"/>
  <c r="B172" i="6"/>
  <c r="C171" i="6"/>
  <c r="B171" i="6"/>
  <c r="C170" i="6"/>
  <c r="B170" i="6"/>
  <c r="C169" i="6"/>
  <c r="B169" i="6"/>
  <c r="C168" i="6"/>
  <c r="B168" i="6"/>
  <c r="C167" i="6"/>
  <c r="B167" i="6"/>
  <c r="C166" i="6"/>
  <c r="B166" i="6"/>
  <c r="C165" i="6"/>
  <c r="B165" i="6"/>
  <c r="C164" i="6"/>
  <c r="B164" i="6"/>
  <c r="C163" i="6"/>
  <c r="B163" i="6"/>
  <c r="C162" i="6"/>
  <c r="B162" i="6"/>
  <c r="C161" i="6"/>
  <c r="B161" i="6"/>
  <c r="C160" i="6"/>
  <c r="B160" i="6"/>
  <c r="C159" i="6"/>
  <c r="B159" i="6"/>
  <c r="C158" i="6"/>
  <c r="B158" i="6"/>
  <c r="C157" i="6"/>
  <c r="B157" i="6"/>
  <c r="C156" i="6"/>
  <c r="B156" i="6"/>
  <c r="C155" i="6"/>
  <c r="B155" i="6"/>
  <c r="C154" i="6"/>
  <c r="B154" i="6"/>
  <c r="C153" i="6"/>
  <c r="B153" i="6"/>
  <c r="C152" i="6"/>
  <c r="B152" i="6"/>
  <c r="C151" i="6"/>
  <c r="B151" i="6"/>
  <c r="C150" i="6"/>
  <c r="B150" i="6"/>
  <c r="C149" i="6"/>
  <c r="B149" i="6"/>
  <c r="C148" i="6"/>
  <c r="B148" i="6"/>
  <c r="C147" i="6"/>
  <c r="B147" i="6"/>
  <c r="C146" i="6"/>
  <c r="B146" i="6"/>
  <c r="C145" i="6"/>
  <c r="B145" i="6"/>
  <c r="C144" i="6"/>
  <c r="B144" i="6"/>
  <c r="C143" i="6"/>
  <c r="B143" i="6"/>
  <c r="C142" i="6"/>
  <c r="B142" i="6"/>
  <c r="C141" i="6"/>
  <c r="B141" i="6"/>
  <c r="C140" i="6"/>
  <c r="B140" i="6"/>
  <c r="C139" i="6"/>
  <c r="B139" i="6"/>
  <c r="C138" i="6"/>
  <c r="B138" i="6"/>
  <c r="C137" i="6"/>
  <c r="B137" i="6"/>
  <c r="C136" i="6"/>
  <c r="B136" i="6"/>
  <c r="C135" i="6"/>
  <c r="B135" i="6"/>
  <c r="C134" i="6"/>
  <c r="B134" i="6"/>
  <c r="C133" i="6"/>
  <c r="B133" i="6"/>
  <c r="C132" i="6"/>
  <c r="B132" i="6"/>
  <c r="C131" i="6"/>
  <c r="B131" i="6"/>
  <c r="C130" i="6"/>
  <c r="B130" i="6"/>
  <c r="C129" i="6"/>
  <c r="B129" i="6"/>
  <c r="C128" i="6"/>
  <c r="B128" i="6"/>
  <c r="C127" i="6"/>
  <c r="B127" i="6"/>
  <c r="C126" i="6"/>
  <c r="B126" i="6"/>
  <c r="C125" i="6"/>
  <c r="B125" i="6"/>
  <c r="C124" i="6"/>
  <c r="B124" i="6"/>
  <c r="C123" i="6"/>
  <c r="B123" i="6"/>
  <c r="C122" i="6"/>
  <c r="B122" i="6"/>
  <c r="C121" i="6"/>
  <c r="B121" i="6"/>
  <c r="C120" i="6"/>
  <c r="B120" i="6"/>
  <c r="C119" i="6"/>
  <c r="B119" i="6"/>
  <c r="C118" i="6"/>
  <c r="B118" i="6"/>
  <c r="C117" i="6"/>
  <c r="B117" i="6"/>
  <c r="C116" i="6"/>
  <c r="B116" i="6"/>
  <c r="C115" i="6"/>
  <c r="B115" i="6"/>
  <c r="C114" i="6"/>
  <c r="B114" i="6"/>
  <c r="C113" i="6"/>
  <c r="B113" i="6"/>
  <c r="C112" i="6"/>
  <c r="B112" i="6"/>
  <c r="C111" i="6"/>
  <c r="B111" i="6"/>
  <c r="C110" i="6"/>
  <c r="B110" i="6"/>
  <c r="C109" i="6"/>
  <c r="B109" i="6"/>
  <c r="C108" i="6"/>
  <c r="B108" i="6"/>
  <c r="C107" i="6"/>
  <c r="B107" i="6"/>
  <c r="C106" i="6"/>
  <c r="B106" i="6"/>
  <c r="C105" i="6"/>
  <c r="B105" i="6"/>
  <c r="C104" i="6"/>
  <c r="B104" i="6"/>
  <c r="C103" i="6"/>
  <c r="B103" i="6"/>
  <c r="C102" i="6"/>
  <c r="B102" i="6"/>
  <c r="C101" i="6"/>
  <c r="B101" i="6"/>
  <c r="C100" i="6"/>
  <c r="B100" i="6"/>
  <c r="C99" i="6"/>
  <c r="B99" i="6"/>
  <c r="C98" i="6"/>
  <c r="B98" i="6"/>
  <c r="C97" i="6"/>
  <c r="B97" i="6"/>
  <c r="C96" i="6"/>
  <c r="B96" i="6"/>
  <c r="C95" i="6"/>
  <c r="B95" i="6"/>
  <c r="C94" i="6"/>
  <c r="B94" i="6"/>
  <c r="C93" i="6"/>
  <c r="B93" i="6"/>
  <c r="C92" i="6"/>
  <c r="B92" i="6"/>
  <c r="C91" i="6"/>
  <c r="B91" i="6"/>
  <c r="C90" i="6"/>
  <c r="B90" i="6"/>
  <c r="C89" i="6"/>
  <c r="B89" i="6"/>
  <c r="C88" i="6"/>
  <c r="B88" i="6"/>
  <c r="C87" i="6"/>
  <c r="B87" i="6"/>
  <c r="C86" i="6"/>
  <c r="B86" i="6"/>
  <c r="C85" i="6"/>
  <c r="B85" i="6"/>
  <c r="C84" i="6"/>
  <c r="B84" i="6"/>
  <c r="C83" i="6"/>
  <c r="B83" i="6"/>
  <c r="C82" i="6"/>
  <c r="B82" i="6"/>
  <c r="C81" i="6"/>
  <c r="B81" i="6"/>
  <c r="C80" i="6"/>
  <c r="B80" i="6"/>
  <c r="C79" i="6"/>
  <c r="B79" i="6"/>
  <c r="C78" i="6"/>
  <c r="B78" i="6"/>
  <c r="C77" i="6"/>
  <c r="B77" i="6"/>
  <c r="C76" i="6"/>
  <c r="B76" i="6"/>
  <c r="C75" i="6"/>
  <c r="B75" i="6"/>
  <c r="C74" i="6"/>
  <c r="B74" i="6"/>
  <c r="C73" i="6"/>
  <c r="B73" i="6"/>
  <c r="C72" i="6"/>
  <c r="B72" i="6"/>
  <c r="C71" i="6"/>
  <c r="B71" i="6"/>
  <c r="C70" i="6"/>
  <c r="B70" i="6"/>
  <c r="C69" i="6"/>
  <c r="B69" i="6"/>
  <c r="C68" i="6"/>
  <c r="B68" i="6"/>
  <c r="C67" i="6"/>
  <c r="B67" i="6"/>
  <c r="C66" i="6"/>
  <c r="B66" i="6"/>
  <c r="C65" i="6"/>
  <c r="B65" i="6"/>
  <c r="C64" i="6"/>
  <c r="B64" i="6"/>
  <c r="C63" i="6"/>
  <c r="B63" i="6"/>
  <c r="C62" i="6"/>
  <c r="B62" i="6"/>
  <c r="C61" i="6"/>
  <c r="B61" i="6"/>
  <c r="C60" i="6"/>
  <c r="B60" i="6"/>
  <c r="C59" i="6"/>
  <c r="B59" i="6"/>
  <c r="C58" i="6"/>
  <c r="B58" i="6"/>
  <c r="C57" i="6"/>
  <c r="B57" i="6"/>
  <c r="C56" i="6"/>
  <c r="B56" i="6"/>
  <c r="C55" i="6"/>
  <c r="B55" i="6"/>
  <c r="C54" i="6"/>
  <c r="B54" i="6"/>
  <c r="C53" i="6"/>
  <c r="B53" i="6"/>
  <c r="C52" i="6"/>
  <c r="B52" i="6"/>
  <c r="C51" i="6"/>
  <c r="B51" i="6"/>
  <c r="C50" i="6"/>
  <c r="B50" i="6"/>
  <c r="C49" i="6"/>
  <c r="B49" i="6"/>
  <c r="C48" i="6"/>
  <c r="B48" i="6"/>
  <c r="C47" i="6"/>
  <c r="B47" i="6"/>
  <c r="C46" i="6"/>
  <c r="B46" i="6"/>
  <c r="C45" i="6"/>
  <c r="B45" i="6"/>
  <c r="C44" i="6"/>
  <c r="B44" i="6"/>
  <c r="C43" i="6"/>
  <c r="B43" i="6"/>
  <c r="C42" i="6"/>
  <c r="B42" i="6"/>
  <c r="C41" i="6"/>
  <c r="B41" i="6"/>
  <c r="C40" i="6"/>
  <c r="B40" i="6"/>
  <c r="C39" i="6"/>
  <c r="B39" i="6"/>
  <c r="C38" i="6"/>
  <c r="B38" i="6"/>
  <c r="C37" i="6"/>
  <c r="B37" i="6"/>
  <c r="C36" i="6"/>
  <c r="B36" i="6"/>
  <c r="C35" i="6"/>
  <c r="B35" i="6"/>
  <c r="C34" i="6"/>
  <c r="B34" i="6"/>
  <c r="C33" i="6"/>
  <c r="B33" i="6"/>
  <c r="C32" i="6"/>
  <c r="B32" i="6"/>
  <c r="C31" i="6"/>
  <c r="B31" i="6"/>
  <c r="C30" i="6"/>
  <c r="B30" i="6"/>
  <c r="C29" i="6"/>
  <c r="B29" i="6"/>
  <c r="C28" i="6"/>
  <c r="B28" i="6"/>
  <c r="C27" i="6"/>
  <c r="B27" i="6"/>
  <c r="C26" i="6"/>
  <c r="B26" i="6"/>
  <c r="C25" i="6"/>
  <c r="B25" i="6"/>
  <c r="C24" i="6"/>
  <c r="B24" i="6"/>
  <c r="C23" i="6"/>
  <c r="B23" i="6"/>
  <c r="C22" i="6"/>
  <c r="B22" i="6"/>
  <c r="C21" i="6"/>
  <c r="B21" i="6"/>
  <c r="C72" i="3"/>
  <c r="C73" i="3" s="1"/>
  <c r="B72" i="3"/>
  <c r="B73" i="3" s="1"/>
  <c r="C69" i="3"/>
  <c r="C70" i="3" s="1"/>
  <c r="B69" i="3"/>
  <c r="B70" i="3" s="1"/>
  <c r="C47" i="3"/>
  <c r="C48" i="3" s="1"/>
  <c r="B47" i="3"/>
  <c r="B48" i="3" s="1"/>
  <c r="C45" i="3"/>
  <c r="C44" i="3"/>
  <c r="B44" i="3"/>
  <c r="B45" i="3" s="1"/>
  <c r="C23" i="3"/>
  <c r="C24" i="3" s="1"/>
  <c r="B23" i="3"/>
  <c r="B24" i="3" s="1"/>
  <c r="C20" i="3"/>
  <c r="C21" i="3" s="1"/>
  <c r="B20" i="3"/>
  <c r="B21" i="3" s="1"/>
  <c r="C11" i="3"/>
  <c r="C12" i="3" s="1"/>
  <c r="C9" i="3"/>
  <c r="D16" i="2"/>
  <c r="D17" i="2" s="1"/>
  <c r="D15" i="2"/>
  <c r="D14" i="2"/>
  <c r="D13" i="2"/>
  <c r="D12" i="2"/>
  <c r="D11" i="2"/>
  <c r="D10" i="2"/>
  <c r="D9" i="2"/>
  <c r="D8" i="2"/>
  <c r="D7" i="2"/>
  <c r="D6" i="2"/>
  <c r="D5" i="2"/>
  <c r="D4" i="2"/>
  <c r="D3" i="2"/>
  <c r="D2" i="2"/>
  <c r="B77" i="3" l="1"/>
  <c r="B75" i="3"/>
  <c r="B78" i="3"/>
  <c r="B9" i="3"/>
  <c r="B11" i="3"/>
  <c r="B12" i="3"/>
  <c r="B76" i="3" s="1"/>
</calcChain>
</file>

<file path=xl/sharedStrings.xml><?xml version="1.0" encoding="utf-8"?>
<sst xmlns="http://schemas.openxmlformats.org/spreadsheetml/2006/main" count="2006" uniqueCount="558">
  <si>
    <t>CTD O2 (µmol/kg)</t>
  </si>
  <si>
    <t>Winkler O2 (µmol/kg)</t>
  </si>
  <si>
    <t>% Error (Assuming Winkler to be "true")</t>
  </si>
  <si>
    <t>Average % Error</t>
  </si>
  <si>
    <t>% Error Translated to Average µmol Deviation</t>
  </si>
  <si>
    <t>CRM DIC (µmol/kg)</t>
  </si>
  <si>
    <t>STDEV</t>
  </si>
  <si>
    <t>2Sig</t>
  </si>
  <si>
    <t>BATCH 160 (March 2017)</t>
  </si>
  <si>
    <t>CRM TA (µmol/kg)</t>
  </si>
  <si>
    <t>Certified Value</t>
  </si>
  <si>
    <t>BATCH 147 (October 2015)</t>
  </si>
  <si>
    <t>BATCH 144 (November 2014)</t>
  </si>
  <si>
    <t>BATCH 140 (May 2014)</t>
  </si>
  <si>
    <t>Optode/Winkler Data from November 2014</t>
  </si>
  <si>
    <t>Average DIC Precision Across All Data (µmol, 2sig)</t>
  </si>
  <si>
    <t>Average DIC Accuracy Error Across All Data (µmol)</t>
  </si>
  <si>
    <t>Average TA Precision Across All Data (µmol, 2sig)</t>
  </si>
  <si>
    <t>Average TA Accuracy Error Across All Data (µmol)</t>
  </si>
  <si>
    <t>Latitude</t>
  </si>
  <si>
    <t>Longitude</t>
  </si>
  <si>
    <t>Salinity</t>
  </si>
  <si>
    <t>Depth (m)</t>
  </si>
  <si>
    <t>O2 (µmol/kg)</t>
  </si>
  <si>
    <t>TCO2 (µmol/kg)</t>
  </si>
  <si>
    <t>TA (µmol/kg)</t>
  </si>
  <si>
    <t>Temperature (ºC)</t>
  </si>
  <si>
    <t>Pressure (dbar)</t>
  </si>
  <si>
    <t>Date (yymmdd)</t>
  </si>
  <si>
    <t>General Location</t>
  </si>
  <si>
    <t xml:space="preserve">Latitude </t>
  </si>
  <si>
    <t xml:space="preserve">Longitude </t>
  </si>
  <si>
    <t>GPS Name</t>
  </si>
  <si>
    <t xml:space="preserve">Water Depth (m) </t>
  </si>
  <si>
    <t>Time (local)</t>
  </si>
  <si>
    <t>Day (local)</t>
  </si>
  <si>
    <t>Time (GMT)</t>
  </si>
  <si>
    <t>Day (GMT)</t>
  </si>
  <si>
    <t>Speeds (m/s)</t>
  </si>
  <si>
    <t>Depth Range (m)</t>
  </si>
  <si>
    <t>Notes</t>
  </si>
  <si>
    <t>Teihotu's Channel</t>
  </si>
  <si>
    <t>S 17°00.758'</t>
  </si>
  <si>
    <t>W 149°35.179'</t>
  </si>
  <si>
    <t>BLACK MOORING1</t>
  </si>
  <si>
    <t>0.6 to east</t>
  </si>
  <si>
    <t>Attached to the mooring. The flow was east--opposite of normal direction</t>
  </si>
  <si>
    <t>White Mooring</t>
  </si>
  <si>
    <t>S 17°00.796'</t>
  </si>
  <si>
    <t>W 149°35.108'</t>
  </si>
  <si>
    <t>WHITE MOORING1</t>
  </si>
  <si>
    <t>0.3 to east</t>
  </si>
  <si>
    <t xml:space="preserve">0.4 to east </t>
  </si>
  <si>
    <t>East of Runway</t>
  </si>
  <si>
    <t>S 17°00.941'</t>
  </si>
  <si>
    <t>W 149°33.982'</t>
  </si>
  <si>
    <t>CURRENT4</t>
  </si>
  <si>
    <t xml:space="preserve">0.2-0.4 to South </t>
  </si>
  <si>
    <t>?</t>
  </si>
  <si>
    <t>Wind is East</t>
  </si>
  <si>
    <t>NE Channel</t>
  </si>
  <si>
    <t>S 16°59.317'</t>
  </si>
  <si>
    <t>W 149°33.664'</t>
  </si>
  <si>
    <t>CURRENT5</t>
  </si>
  <si>
    <t>~0.1 to South</t>
  </si>
  <si>
    <t>0-0.3</t>
  </si>
  <si>
    <t>0.1-0.2</t>
  </si>
  <si>
    <t>Flow Data</t>
  </si>
  <si>
    <t>Wind Speed (m/s)</t>
  </si>
  <si>
    <t>Wind Speed (mph)</t>
  </si>
  <si>
    <t>May 2014 Campaign</t>
  </si>
  <si>
    <t>Sample Time (Local)</t>
  </si>
  <si>
    <t>Temp (ºC)</t>
  </si>
  <si>
    <t>Sal. Norm Alk</t>
  </si>
  <si>
    <t>Sal. Norm TCO2</t>
  </si>
  <si>
    <t>TCO2 Sat (µmol/kg)</t>
  </si>
  <si>
    <t>Average [CO2] (µmol/kg)</t>
  </si>
  <si>
    <t>[CO2] Sat (µmol/kg)</t>
  </si>
  <si>
    <t>pH</t>
  </si>
  <si>
    <t>DO Sat (µM)</t>
  </si>
  <si>
    <t>DO Sat (µmol/kg)</t>
  </si>
  <si>
    <t>Alkalinity (µmol/kg)</t>
  </si>
  <si>
    <t>Average TCO2 (µmol/kg)</t>
  </si>
  <si>
    <t>DO (µmol/kg)</t>
  </si>
  <si>
    <t>November 2014 Campaign</t>
  </si>
  <si>
    <t>October 2015 Campaign</t>
  </si>
  <si>
    <t>March 2017 Campaign</t>
  </si>
  <si>
    <t>MATLAB_datenum</t>
  </si>
  <si>
    <t>Lon</t>
  </si>
  <si>
    <t>Lat</t>
  </si>
  <si>
    <t>Ox_sat</t>
  </si>
  <si>
    <t>Temp</t>
  </si>
  <si>
    <t>Ox_conc_mg_L</t>
  </si>
  <si>
    <t>NaN</t>
  </si>
  <si>
    <t>Mixing Rate (m * hr-1)</t>
  </si>
  <si>
    <t>PmaxO2 (mol O2 * m-2 * hr-1)</t>
  </si>
  <si>
    <t>RO2 (mol O2 * m-2 * hr-1)</t>
  </si>
  <si>
    <t>PmaxDIC (mol O2 * m-2 * hr-1)</t>
  </si>
  <si>
    <t>RDIC (mol O2 * m-2 * hr-1)</t>
  </si>
  <si>
    <t>Time</t>
  </si>
  <si>
    <t>For int</t>
  </si>
  <si>
    <t>T_step</t>
  </si>
  <si>
    <t>DELTAX_DIC_GE_Tstep</t>
  </si>
  <si>
    <t>DELTAX_DIC_GE_Hour</t>
  </si>
  <si>
    <t>Integrated DIC GE</t>
  </si>
  <si>
    <t>DELTA_DIC_MIX_Tstep</t>
  </si>
  <si>
    <t>DELTA_DIC_MIX_Hour</t>
  </si>
  <si>
    <t>Integrated DIC Mix</t>
  </si>
  <si>
    <t>DELTAX_PR_DIC_Tstep</t>
  </si>
  <si>
    <t>DELTAX_PR_DIC_Hour</t>
  </si>
  <si>
    <t>Integrated Diel DIC PR</t>
  </si>
  <si>
    <t>DELTAX_PR_O2_Tstep</t>
  </si>
  <si>
    <t>DELTAX_PR_O2_Hour</t>
  </si>
  <si>
    <t>Integrated Diel O2 PR</t>
  </si>
  <si>
    <t>DELTAX_GE_O2_Tstep</t>
  </si>
  <si>
    <t>DELTAX_GE_O2_Hour</t>
  </si>
  <si>
    <t>Integrated Diel O2 GE</t>
  </si>
  <si>
    <t>DELTAX_MIX_O2_Tstep</t>
  </si>
  <si>
    <t>DELTAX_MIX_O2_Hour</t>
  </si>
  <si>
    <t>Integrated Diel O2 Mix</t>
  </si>
  <si>
    <t>DELTAX_CD on Alk_Tstep</t>
  </si>
  <si>
    <t>DELTAX_CD on Alk_Hour</t>
  </si>
  <si>
    <t>DELTAX_CD on DIC</t>
  </si>
  <si>
    <t>Integrated Diel DIC Calc</t>
  </si>
  <si>
    <t>Daily Q (Average)</t>
  </si>
  <si>
    <t>Q</t>
  </si>
  <si>
    <t>October 2015 Output Data</t>
  </si>
  <si>
    <t>November 2014 Output Data</t>
  </si>
  <si>
    <t>May 2014 Output Data</t>
  </si>
  <si>
    <t>March 2017 Output Data</t>
  </si>
  <si>
    <t>Calculated DIC (mol/kg)</t>
  </si>
  <si>
    <t>&lt;-- µmol/kg</t>
  </si>
  <si>
    <t>Measured DIC (µmol/kg)</t>
  </si>
  <si>
    <t>Calculated TA (mol/kg)</t>
  </si>
  <si>
    <t>Measured TA (µmol/kg)</t>
  </si>
  <si>
    <t>Calculated O2 (mol/kg)</t>
  </si>
  <si>
    <t>Measured O2 (µmol/kg)</t>
  </si>
  <si>
    <t>October 2015 Rain Recovery</t>
  </si>
  <si>
    <t>Time Converted to Minutes</t>
  </si>
  <si>
    <t>Julian Date</t>
  </si>
  <si>
    <t>Salinity (PSU)</t>
  </si>
  <si>
    <t>Rain Amount Responsible (mm)</t>
  </si>
  <si>
    <t>Calculated Reef Flat Depth (m)</t>
  </si>
  <si>
    <t>Sal_min</t>
  </si>
  <si>
    <t>Sal_max</t>
  </si>
  <si>
    <t>January 2016 Rain Recovery</t>
  </si>
  <si>
    <t>Equation Format:</t>
  </si>
  <si>
    <t>Salinity = (Sal_Min - Sal_Final) * exp(-t/𝛕) + Sal_Final</t>
  </si>
  <si>
    <t>Average dO2/dt Total (µmol/kg/hr)</t>
  </si>
  <si>
    <t>Average dDIC/dt Total (µmol/kg/hr)</t>
  </si>
  <si>
    <t>Average dTA/dt Total (µmol/kg/hr)</t>
  </si>
  <si>
    <t>11 AM - 5 PM</t>
  </si>
  <si>
    <t>5 PM - 11 PM</t>
  </si>
  <si>
    <t>11 PM - 5 AM</t>
  </si>
  <si>
    <t>7 AM - 11 AM</t>
  </si>
  <si>
    <t>Assume Atmospheric pCO2 (µatm)</t>
  </si>
  <si>
    <t>Assume Tau (hours)</t>
  </si>
  <si>
    <t>Assume Depth (m)</t>
  </si>
  <si>
    <t>Assume Rho (kg/l)</t>
  </si>
  <si>
    <t>Assume DIC_oo (µmol/kg)</t>
  </si>
  <si>
    <t>Assume TA_oo (µmol/kg)</t>
  </si>
  <si>
    <t>Assume O2_oo (µmol/kg)</t>
  </si>
  <si>
    <t>&lt;&lt;&lt;USING AVERAGE PIECEWISE RATES OF CHANGE&gt;&gt;&gt;</t>
  </si>
  <si>
    <t>Sample ID</t>
  </si>
  <si>
    <t>dO2/dt GE</t>
  </si>
  <si>
    <t>dO2/dt Advec.</t>
  </si>
  <si>
    <t>dO2/dt Prod.</t>
  </si>
  <si>
    <t>Int O2 Prod.</t>
  </si>
  <si>
    <t>dTA/dt Advec.</t>
  </si>
  <si>
    <t>dTA/dt Calc.</t>
  </si>
  <si>
    <t>Int Calc.</t>
  </si>
  <si>
    <t>dDIC/dt GE</t>
  </si>
  <si>
    <t>dDIC/dt Advec.</t>
  </si>
  <si>
    <t>dDIC/dt Calc.</t>
  </si>
  <si>
    <t>dDIC/dt Prod.</t>
  </si>
  <si>
    <t>Int DIC Prod</t>
  </si>
  <si>
    <t>Hourly Q (dO2/dDIC)_Prod.</t>
  </si>
  <si>
    <t>TDC1</t>
  </si>
  <si>
    <t>TDC2</t>
  </si>
  <si>
    <t>TDC3</t>
  </si>
  <si>
    <t>TDC4</t>
  </si>
  <si>
    <t>TDC5</t>
  </si>
  <si>
    <t>TDC6</t>
  </si>
  <si>
    <t>TDC7</t>
  </si>
  <si>
    <t>TDC8</t>
  </si>
  <si>
    <t>TDC9</t>
  </si>
  <si>
    <t>TDC10</t>
  </si>
  <si>
    <t>TDC11</t>
  </si>
  <si>
    <t>TDC12</t>
  </si>
  <si>
    <t>TDC13</t>
  </si>
  <si>
    <t>Average Q (dO2/dDIC)_Prod.</t>
  </si>
  <si>
    <t>8 AM - 2 PM</t>
  </si>
  <si>
    <t>4 PM - 10 PM</t>
  </si>
  <si>
    <t>10 PM - 2 AM</t>
  </si>
  <si>
    <t>4 AM - 8 AM</t>
  </si>
  <si>
    <t>-</t>
  </si>
  <si>
    <t>TDC14</t>
  </si>
  <si>
    <t>TDC 15</t>
  </si>
  <si>
    <t>6 AM - 10 AM</t>
  </si>
  <si>
    <t>12 PM - 6 PM</t>
  </si>
  <si>
    <t>10 PM - 6 AM</t>
  </si>
  <si>
    <t>TACC21-16A</t>
  </si>
  <si>
    <t>TACC21-17B</t>
  </si>
  <si>
    <t>TACC21-18A</t>
  </si>
  <si>
    <t>TACC21-19B</t>
  </si>
  <si>
    <t>TACC21-20A</t>
  </si>
  <si>
    <t>TACC21-21B</t>
  </si>
  <si>
    <t>TACC21-22B</t>
  </si>
  <si>
    <t>TACC21-23A</t>
  </si>
  <si>
    <t>TACC21-25A</t>
  </si>
  <si>
    <t>TACC21-26B</t>
  </si>
  <si>
    <t>TACC21-27A</t>
  </si>
  <si>
    <t>TACC21-28A</t>
  </si>
  <si>
    <t>TACC21-29A</t>
  </si>
  <si>
    <t>TACC21-30A</t>
  </si>
  <si>
    <t>12 PM - 4 PM</t>
  </si>
  <si>
    <t>6 AM - 12 PM</t>
  </si>
  <si>
    <t>TACC21-70</t>
  </si>
  <si>
    <t>TACC21-71</t>
  </si>
  <si>
    <t>TACC21-72</t>
  </si>
  <si>
    <t>TACC21-73</t>
  </si>
  <si>
    <t>TACC21-74</t>
  </si>
  <si>
    <t>TACC21-75</t>
  </si>
  <si>
    <t>TACC21-76</t>
  </si>
  <si>
    <t>TACC21-77</t>
  </si>
  <si>
    <t>TACC21-78</t>
  </si>
  <si>
    <t>TACC21-80</t>
  </si>
  <si>
    <t>TACC21-81</t>
  </si>
  <si>
    <t>TACC21-82</t>
  </si>
  <si>
    <t>TACC21-83</t>
  </si>
  <si>
    <t>TACC21-84</t>
  </si>
  <si>
    <t>Steady, Non-Dispersive Flow Model of Reef BGC</t>
  </si>
  <si>
    <t>Assume rho (kg/m3)</t>
  </si>
  <si>
    <t>Assume z (m)</t>
  </si>
  <si>
    <t>May 2014 Data</t>
  </si>
  <si>
    <t>Sal_Norm_DIC</t>
  </si>
  <si>
    <t>Sal_Norm_TA</t>
  </si>
  <si>
    <t>[CO2]-aq Sat</t>
  </si>
  <si>
    <t>NEP O2 (mmol*m-2*hr-1)</t>
  </si>
  <si>
    <t>NEP DIC (mmol*m-2*hr-1)</t>
  </si>
  <si>
    <t>NEC (mmol*m-2*hr-1)</t>
  </si>
  <si>
    <t>Hourly Q (NEP O2/NEP DIC)</t>
  </si>
  <si>
    <t>November 2014 Data</t>
  </si>
  <si>
    <t>October 2015 Data</t>
  </si>
  <si>
    <t>March 2017 Data</t>
  </si>
  <si>
    <t>O2 sat (µmol/kg)</t>
  </si>
  <si>
    <t>[CO2] (µmol/kg)</t>
  </si>
  <si>
    <t>O2</t>
  </si>
  <si>
    <t>May 2014 Dataset</t>
  </si>
  <si>
    <t>Above - White shaded regions are where Q = - 1 can be excluded @ 95% CI.</t>
  </si>
  <si>
    <t>Above - White shaded regions are where Q = - 1.45 can be excluded @ 95% CI.</t>
  </si>
  <si>
    <t>November 2014 Dataset</t>
  </si>
  <si>
    <t>October 2015 Dataset</t>
  </si>
  <si>
    <t>March 2017 Dataset</t>
  </si>
  <si>
    <t>Measured vs Modeled DIC "STDEV"</t>
  </si>
  <si>
    <t>Measured vs Modeled TA "STDEV"</t>
  </si>
  <si>
    <t>Measured vs Modeled O2 "STDEV"</t>
  </si>
  <si>
    <t>Regression DIC (µmol/kg)</t>
  </si>
  <si>
    <t>Regression TA (µmol/kg)</t>
  </si>
  <si>
    <t>Regression O2 (µmol/kg)</t>
  </si>
  <si>
    <t>Residual DIC (µmol/kg)</t>
  </si>
  <si>
    <t>Residual TA (µmol/kg)</t>
  </si>
  <si>
    <t>Residual O2 (µmol/kg)</t>
  </si>
  <si>
    <t>Cmax (mol CaCO3 * m-2 * hr-1)</t>
  </si>
  <si>
    <t>C (mol CaCO3 * m-2 * hr-1)</t>
  </si>
  <si>
    <t>α-PR (mol O2 or DIC * m-2 *hr-1 * µmol photons-1 * m-2 * sec-1)</t>
  </si>
  <si>
    <t>α-CD (mol CaCO3 * m-2 *hr-1 * µmol photons-1 * m-2 * sec-1)</t>
  </si>
  <si>
    <t>Let kH O2 (µmol*kg-1*atm-1)</t>
  </si>
  <si>
    <t>Let pH2O (atm)</t>
  </si>
  <si>
    <t>Let pB (atm @ 1 m depth)</t>
  </si>
  <si>
    <t>Mole Fraction O2 in Bubble</t>
  </si>
  <si>
    <t>Presumed Loss O2 to/from Bubble (µmol*m-2)</t>
  </si>
  <si>
    <t>Presumed Loss O2 to/from Bubble (mol*m-2)</t>
  </si>
  <si>
    <t>Total Moles of Gas in Bubbles (mol*m-2)</t>
  </si>
  <si>
    <t>Let kH CO2 (µmol*kg-1*atm-1)</t>
  </si>
  <si>
    <t>Mole Fraction CO2 in Bubble</t>
  </si>
  <si>
    <t>Volume of Bubbles Needed to Explain O2 (L*m-2)</t>
  </si>
  <si>
    <t>Let R (L*atm*K-1*mol-1)</t>
  </si>
  <si>
    <r>
      <t xml:space="preserve">Let Average </t>
    </r>
    <r>
      <rPr>
        <i/>
        <sz val="12"/>
        <color theme="1"/>
        <rFont val="Calibri"/>
        <family val="2"/>
        <scheme val="minor"/>
      </rPr>
      <t>Porites</t>
    </r>
    <r>
      <rPr>
        <sz val="12"/>
        <color theme="1"/>
        <rFont val="Calibri"/>
        <family val="2"/>
        <scheme val="minor"/>
      </rPr>
      <t xml:space="preserve"> polyp size (mm)</t>
    </r>
  </si>
  <si>
    <t>Polyp Bubble Volume (mm3)</t>
  </si>
  <si>
    <t>Polyp Bubble Volume (L)</t>
  </si>
  <si>
    <t># of Bubbles Needed to Explain O2 (per m-2)</t>
  </si>
  <si>
    <t>Integrated Bubbles</t>
  </si>
  <si>
    <t>Integrated Volume</t>
  </si>
  <si>
    <t>Mixing Ratio (Nov-October)</t>
  </si>
  <si>
    <t>O2 of Mixture</t>
  </si>
  <si>
    <t>10 AM November 2014 (Tau = 3.58 hrs)</t>
  </si>
  <si>
    <t>10 AM October 2015 (Tau = 2.75 hrs)</t>
  </si>
  <si>
    <t>Assume Flow (m/hr, May 2014)</t>
  </si>
  <si>
    <t>Assume Flow (m/hr, Nov 2014)</t>
  </si>
  <si>
    <t>Assume Flow (m/hr, Oct 2015)</t>
  </si>
  <si>
    <t>Implied Pathlength (m, May 2014)</t>
  </si>
  <si>
    <t>Implied Pathlength (m, Oct 2015)</t>
  </si>
  <si>
    <t>Implied Pathlength (m, Nov 2014)</t>
  </si>
  <si>
    <t>Implied Pathlength (m, Mar 2017)</t>
  </si>
  <si>
    <t>Assume Flow (m/hr, Mar 2017)</t>
  </si>
  <si>
    <t>Assume 𝛕 (hr, May 2014)</t>
  </si>
  <si>
    <t>Assume 𝛕 (hr, Nov 2014)</t>
  </si>
  <si>
    <t>Assume 𝛕 (hr, Oct 2015)</t>
  </si>
  <si>
    <t>Assume 𝛕 (hr, Mar 2017)</t>
  </si>
  <si>
    <t>Sal. Norm DO (µmol/kg)</t>
  </si>
  <si>
    <t>For Calculating Schmidt #s</t>
  </si>
  <si>
    <t>CO2</t>
  </si>
  <si>
    <t>Sc = A + Bt + Ct^2 + dt^3 + Et^4</t>
  </si>
  <si>
    <t>A</t>
  </si>
  <si>
    <t>B</t>
  </si>
  <si>
    <t>C</t>
  </si>
  <si>
    <t>D</t>
  </si>
  <si>
    <t>E</t>
  </si>
  <si>
    <t>From Wanninkhof, 2014</t>
  </si>
  <si>
    <t>Schmidt # O2</t>
  </si>
  <si>
    <t>Schmidt # CO2</t>
  </si>
  <si>
    <t>k-empirical O2 (m/hr)</t>
  </si>
  <si>
    <t>k-empirical CO2 (m/hr)</t>
  </si>
  <si>
    <t>&lt;&lt;&lt;USING PER HOUR RATES OF CHANGE&gt;&gt;&gt;</t>
  </si>
  <si>
    <t>mmol*m-2*hr-1</t>
  </si>
  <si>
    <t>Daily Net Q</t>
  </si>
  <si>
    <t>Daily NEP O2 (11-11, mmol O2/m2/day)</t>
  </si>
  <si>
    <t>Daily NEP DIC (11-11, mmol DIC/m2/day)</t>
  </si>
  <si>
    <t>Daily NEC (11-11, mmol CaCO3/m2/day)</t>
  </si>
  <si>
    <t>Daily NEP O2 (6-6, mmol O2/m2/day)</t>
  </si>
  <si>
    <t>Daily NEP DIC (6-6, mmol DIC/m2/day)</t>
  </si>
  <si>
    <t>Daily NEC (6-6, mmol CaCO3/m2/day)</t>
  </si>
  <si>
    <t>Int O2 Prod. (LRAM)</t>
  </si>
  <si>
    <t>Int Calc. (LRAM)</t>
  </si>
  <si>
    <t>Int DIC Prod (LRAM)</t>
  </si>
  <si>
    <t>Daily NEP O2 (12-12, mmol O2/m2/day)</t>
  </si>
  <si>
    <t>Daily NEP DIC (12-12, mmol DIC/m2/day)</t>
  </si>
  <si>
    <t>Daily NEC (12-12 mmol CaCO3/m2/day)</t>
  </si>
  <si>
    <t>Net Daily Q (12 - 12)</t>
  </si>
  <si>
    <t>Net Daily Q (6-6)</t>
  </si>
  <si>
    <t>Net Daily Q (8-8)</t>
  </si>
  <si>
    <t>Net Daily Q (11 - 11)</t>
  </si>
  <si>
    <t>Sal Norm DO</t>
  </si>
  <si>
    <t>Integrated NEP O2</t>
  </si>
  <si>
    <t>Integrated NEP DIC</t>
  </si>
  <si>
    <t>Integrated NEC</t>
  </si>
  <si>
    <t>Total Daily (12 - 12)</t>
  </si>
  <si>
    <t>Total Daily (6 - 6)</t>
  </si>
  <si>
    <t>Total Daily (11 - 11)</t>
  </si>
  <si>
    <t>Measured Alkalinity (µmol/kg)</t>
  </si>
  <si>
    <t>Measured Hourly Q</t>
  </si>
  <si>
    <t>6 AM November 2014 (Tau = 3.58 hrs)</t>
  </si>
  <si>
    <t>6 AM October 2015 (Tau = 2.75 hrs)</t>
  </si>
  <si>
    <t>Alk of Mixture</t>
  </si>
  <si>
    <t>DIC of Mixture</t>
  </si>
  <si>
    <t>Hourly Q if these points were 6 AM (November)</t>
  </si>
  <si>
    <t>Using 6-8</t>
  </si>
  <si>
    <t>Using 8-10</t>
  </si>
  <si>
    <t>8 AM November 2014 (Tau = 3.58 hrs)</t>
  </si>
  <si>
    <t>8 AM October 2015 (Tau = 2.75 hrs)</t>
  </si>
  <si>
    <t>Hourly Q if these points were 8 AM (November)</t>
  </si>
  <si>
    <t>Using 10-12</t>
  </si>
  <si>
    <t>Hourly Q if these points were 10 AM (November)</t>
  </si>
  <si>
    <t>12 PM November 2014 (Tau = 3.58 hrs)</t>
  </si>
  <si>
    <t>12 PM October 2015 (Tau = 2.75 hrs)</t>
  </si>
  <si>
    <t>10 PM November 2014 (Tau = 3.58 hrs)</t>
  </si>
  <si>
    <t>10 PM October 2015 (Tau = 2.75 hrs)</t>
  </si>
  <si>
    <t>Using 22-00</t>
  </si>
  <si>
    <t>Hourly Q if these points were 10 PM (November)</t>
  </si>
  <si>
    <t>12 AM November 2014 (Tau = 3.58 hrs)</t>
  </si>
  <si>
    <t>12 AM October 2015 (Tau = 2.75 hrs)</t>
  </si>
  <si>
    <t>Implied Missing O2 Flux (µmol*kg-1*hr-1)</t>
  </si>
  <si>
    <t>Error in Flux (2sig, based on instrumental error)</t>
  </si>
  <si>
    <t>Error in Loss (µmol*m-2)</t>
  </si>
  <si>
    <t>Wanninkhof 1992 Regression k (m/hr)</t>
  </si>
  <si>
    <t>Wanninkohf 1992 k (m/hr)</t>
  </si>
  <si>
    <t>O2 Schmidt # @ 30ºC</t>
  </si>
  <si>
    <t>CO2 Schmidt # @ 30ºC</t>
  </si>
  <si>
    <t>Wanninkohf 2014 k O2 (m/hr)</t>
  </si>
  <si>
    <t>Wanninkohf 2014 k CO2 (m/hr)</t>
  </si>
  <si>
    <t>Wanninkhof 2014</t>
  </si>
  <si>
    <t>Wanninkhof 1992</t>
  </si>
  <si>
    <t>Cole and Caraco 1998</t>
  </si>
  <si>
    <t>k = (0.31*(Wind Speed in m/s)^2*SQRT(660/600))/100</t>
  </si>
  <si>
    <t>k = (0.251*(Wind Speed in m/s)^2*(Sc/660)^(-0.5))/100</t>
  </si>
  <si>
    <t>Cole and Caraco 1998 k (m/hr)</t>
  </si>
  <si>
    <t>Ho et al., 2006</t>
  </si>
  <si>
    <t>Ho et al., 2006 k (m/hr)</t>
  </si>
  <si>
    <t>k = (0.266 * (Wind Speed)^2)/100</t>
  </si>
  <si>
    <t>k = (2.07 + 0.215*(Wind Speed in m/s)^1.7)/100</t>
  </si>
  <si>
    <t>Ho et al., 2016</t>
  </si>
  <si>
    <t>k = (0.77*(Current velocity in cm/s)^(0.5)*(Mean depth in meters) + 0.266*(Wind Speed)^2)/100</t>
  </si>
  <si>
    <t>Let Current Speed (m/s) --&gt;</t>
  </si>
  <si>
    <t>Let Depth (m) --&gt;</t>
  </si>
  <si>
    <t>Ho et al., 2016 k (m/hr)</t>
  </si>
  <si>
    <t>Let Current Speed (km/hr) --&gt;</t>
  </si>
  <si>
    <t>dDIC/dt Calc. Error</t>
  </si>
  <si>
    <t>dDIC/dt Prod. Error</t>
  </si>
  <si>
    <t>dO2/dt Prod. Error (2sig)</t>
  </si>
  <si>
    <t>dO2dt Prd - Error</t>
  </si>
  <si>
    <t>Int O2 Prod. - Error (LRAM)</t>
  </si>
  <si>
    <t>Int O2 Prod. + Error (LRAM)</t>
  </si>
  <si>
    <t>dO2dt Prd + Error</t>
  </si>
  <si>
    <t>dDIC/dt Calc - Error</t>
  </si>
  <si>
    <t>Int DIC Calc. - Error (LRAM)</t>
  </si>
  <si>
    <t>dDIC/dt Calc + Error</t>
  </si>
  <si>
    <t>Int DIC Calc. + Error (LRAM)</t>
  </si>
  <si>
    <t>dDIC/dt Prd - Error</t>
  </si>
  <si>
    <t>Int DIC Prd. - Error (LRAM)</t>
  </si>
  <si>
    <t>dDIC/dt Prd + Error</t>
  </si>
  <si>
    <t>Int DIC Prd. + Error (LRAM)</t>
  </si>
  <si>
    <t>2sig (+)</t>
  </si>
  <si>
    <t>2sig (-)</t>
  </si>
  <si>
    <t>2sig</t>
  </si>
  <si>
    <t>Daily NEP (11-11, mmol DIC * m-2 * day-1)</t>
  </si>
  <si>
    <t>Daily NEC (11-11, mmol DIC * m-2 * day-1)</t>
  </si>
  <si>
    <t>Daily NEP (6-6, mmol DIC * m-2 * day-1)</t>
  </si>
  <si>
    <t>Daily NEC (6-6, mmol DIC * m-2 * day-1)</t>
  </si>
  <si>
    <t>Daily NEP (12-12, mmol DIC * m-2 * day-1)</t>
  </si>
  <si>
    <t>Daily NEC (12-12, mmol DIC * m-2 * day-1)</t>
  </si>
  <si>
    <t>Presumed Loss O2 to/from Bubble + Error (µmol*m-2)</t>
  </si>
  <si>
    <t>Presumed Loss O2 to/from Bubble - Error (µmol*m-2)</t>
  </si>
  <si>
    <t>Presumed Loss O2 to/from Bubble + Error (mol*m-2)</t>
  </si>
  <si>
    <t>Presumed Loss O2 to/from Bubble - Error (mol*m-2)</t>
  </si>
  <si>
    <t>Total Moles of Gas in Bubbles + Error (mol*m-2)</t>
  </si>
  <si>
    <t>Total Moles of Gas in Bubbles - Error (mol*m-2)</t>
  </si>
  <si>
    <t>Volume of Bubbles Needed to Explain O2 + Error (L*m-2)</t>
  </si>
  <si>
    <t>Integrated Volume + Error</t>
  </si>
  <si>
    <t>Volume of Bubbles Needed to Explain O2 - Error (L*m-2)</t>
  </si>
  <si>
    <t>Integrated Volume - Error</t>
  </si>
  <si>
    <t># of Bubbles Needed to Explain O2 + Error (per m-2)</t>
  </si>
  <si>
    <t>Integrated Bubbles + Error</t>
  </si>
  <si>
    <t># of Bubbles Needed to Explain O2 - Error (per m-2)</t>
  </si>
  <si>
    <t>Integrated Bubbles - Error</t>
  </si>
  <si>
    <t>2Sig Volume of Bubbles (L*m-2)</t>
  </si>
  <si>
    <t>2Sig # of Bubbles per m-2</t>
  </si>
  <si>
    <t>Q (Single Box Model)</t>
  </si>
  <si>
    <t>NEP (mmol DIC * m-2 * day-1)</t>
  </si>
  <si>
    <t>Daily Qnet</t>
  </si>
  <si>
    <t>NEC (mmol CaCO3 * m-2 * day-1)</t>
  </si>
  <si>
    <t>Chlorinity</t>
  </si>
  <si>
    <t>Boron-to-Chlorinity Ratio</t>
  </si>
  <si>
    <t>Total Boron (mg/kg)</t>
  </si>
  <si>
    <t>Total Boron (mol/kg)</t>
  </si>
  <si>
    <t>Boric Acid Dissociation Constant</t>
  </si>
  <si>
    <t>Carbonate K1</t>
  </si>
  <si>
    <t>Carbonate K2</t>
  </si>
  <si>
    <t>Water Kw</t>
  </si>
  <si>
    <t>Q (dO2/dDIC)</t>
  </si>
  <si>
    <t>[H+]</t>
  </si>
  <si>
    <t>[OH-]</t>
  </si>
  <si>
    <t>[B(OH)4-]</t>
  </si>
  <si>
    <t>Measured O2 (mol/kg)</t>
  </si>
  <si>
    <t>O2 Productivity Flux (mol*kg-1*hr-1)</t>
  </si>
  <si>
    <t>O2 if Productivity only (mol/kg)</t>
  </si>
  <si>
    <t>Measured Alkalinity (mol/kg)</t>
  </si>
  <si>
    <t>Barnes K</t>
  </si>
  <si>
    <t>TA Calcification Inventory - Barnes (mol*kg-1)</t>
  </si>
  <si>
    <t>DIC Calcification Flux - Barnes (mol*kg-1)</t>
  </si>
  <si>
    <t>Implied DIC Productivity Flux (mol*kg-1*hr-1)</t>
  </si>
  <si>
    <t>% Error</t>
  </si>
  <si>
    <t>Integrated Implied Productivity</t>
  </si>
  <si>
    <t>NEC Q - Barnes (mmol DIC * m-2 * day-1)</t>
  </si>
  <si>
    <t>NEC "Real" (mmol DIC * m-2 * day-1)</t>
  </si>
  <si>
    <t>Q (Non-Dispersive Flow Model)</t>
  </si>
  <si>
    <t>Q (Multi-Box Eulerian Inverse Model)</t>
  </si>
  <si>
    <t>Average (50 m)</t>
  </si>
  <si>
    <t>O2_oo (µmol/kg)</t>
  </si>
  <si>
    <t>DIC_oo (µmol/kg)</t>
  </si>
  <si>
    <t>TA_oo (µmol/kg)</t>
  </si>
  <si>
    <t>Robust Observations of Temporally-Variable Productivity Quotients on a Coral Atoll: Implications for Estimates of Reef Metabolism – Supplementary Material README</t>
  </si>
  <si>
    <t>Isaiah W. Bolden, Julian P. Sachs, and Alexander C. Gagnon</t>
  </si>
  <si>
    <t>School of Oceanography, University of Washington</t>
  </si>
  <si>
    <t>Seattle, WA 98195</t>
  </si>
  <si>
    <t>The supplementary material for this work is provided in the form of a Microsoft Excel workbook with multiple worksheets. The titles of these worksheets are as follows:</t>
  </si>
  <si>
    <r>
      <t>1.</t>
    </r>
    <r>
      <rPr>
        <sz val="7"/>
        <color theme="1"/>
        <rFont val="Times New Roman"/>
        <family val="1"/>
      </rPr>
      <t xml:space="preserve">     </t>
    </r>
    <r>
      <rPr>
        <sz val="12"/>
        <color theme="1"/>
        <rFont val="Times New Roman"/>
        <family val="1"/>
      </rPr>
      <t>All Experimental Data</t>
    </r>
  </si>
  <si>
    <r>
      <t>2.</t>
    </r>
    <r>
      <rPr>
        <sz val="7"/>
        <color theme="1"/>
        <rFont val="Times New Roman"/>
        <family val="1"/>
      </rPr>
      <t xml:space="preserve">     </t>
    </r>
    <r>
      <rPr>
        <sz val="12"/>
        <color theme="1"/>
        <rFont val="Times New Roman"/>
        <family val="1"/>
      </rPr>
      <t>Single Box Model Fluxes</t>
    </r>
  </si>
  <si>
    <r>
      <t>3.</t>
    </r>
    <r>
      <rPr>
        <sz val="7"/>
        <color theme="1"/>
        <rFont val="Times New Roman"/>
        <family val="1"/>
      </rPr>
      <t xml:space="preserve">     </t>
    </r>
    <r>
      <rPr>
        <sz val="12"/>
        <color theme="1"/>
        <rFont val="Times New Roman"/>
        <family val="1"/>
      </rPr>
      <t>Non-Dispersive Model Output</t>
    </r>
  </si>
  <si>
    <r>
      <t>4.</t>
    </r>
    <r>
      <rPr>
        <sz val="7"/>
        <color theme="1"/>
        <rFont val="Times New Roman"/>
        <family val="1"/>
      </rPr>
      <t xml:space="preserve">     </t>
    </r>
    <r>
      <rPr>
        <sz val="12"/>
        <color theme="1"/>
        <rFont val="Times New Roman"/>
        <family val="1"/>
      </rPr>
      <t>MultiBox Eulerian Inverse Model</t>
    </r>
  </si>
  <si>
    <r>
      <t>5.</t>
    </r>
    <r>
      <rPr>
        <sz val="7"/>
        <color theme="1"/>
        <rFont val="Times New Roman"/>
        <family val="1"/>
      </rPr>
      <t xml:space="preserve">     </t>
    </r>
    <r>
      <rPr>
        <sz val="12"/>
        <color theme="1"/>
        <rFont val="Times New Roman"/>
        <family val="1"/>
      </rPr>
      <t>Metabolism and Q Summary</t>
    </r>
  </si>
  <si>
    <r>
      <t>6.</t>
    </r>
    <r>
      <rPr>
        <sz val="7"/>
        <color theme="1"/>
        <rFont val="Times New Roman"/>
        <family val="1"/>
      </rPr>
      <t xml:space="preserve">     </t>
    </r>
    <r>
      <rPr>
        <sz val="12"/>
        <color theme="1"/>
        <rFont val="Times New Roman"/>
        <family val="1"/>
      </rPr>
      <t>Single Box Piecewise Q</t>
    </r>
  </si>
  <si>
    <r>
      <t>7.</t>
    </r>
    <r>
      <rPr>
        <sz val="7"/>
        <color theme="1"/>
        <rFont val="Times New Roman"/>
        <family val="1"/>
      </rPr>
      <t xml:space="preserve">     </t>
    </r>
    <r>
      <rPr>
        <sz val="12"/>
        <color theme="1"/>
        <rFont val="Times New Roman"/>
        <family val="1"/>
      </rPr>
      <t>Q Assumption Error</t>
    </r>
  </si>
  <si>
    <r>
      <t>8.</t>
    </r>
    <r>
      <rPr>
        <sz val="7"/>
        <color theme="1"/>
        <rFont val="Times New Roman"/>
        <family val="1"/>
      </rPr>
      <t xml:space="preserve">     </t>
    </r>
    <r>
      <rPr>
        <sz val="12"/>
        <color theme="1"/>
        <rFont val="Times New Roman"/>
        <family val="1"/>
      </rPr>
      <t>Missing O</t>
    </r>
    <r>
      <rPr>
        <vertAlign val="subscript"/>
        <sz val="12"/>
        <color theme="1"/>
        <rFont val="Times New Roman"/>
        <family val="1"/>
      </rPr>
      <t>2</t>
    </r>
    <r>
      <rPr>
        <sz val="12"/>
        <color theme="1"/>
        <rFont val="Times New Roman"/>
        <family val="1"/>
      </rPr>
      <t xml:space="preserve"> Flux if Redfield</t>
    </r>
  </si>
  <si>
    <r>
      <t>9.</t>
    </r>
    <r>
      <rPr>
        <sz val="7"/>
        <color theme="1"/>
        <rFont val="Times New Roman"/>
        <family val="1"/>
      </rPr>
      <t xml:space="preserve">     </t>
    </r>
    <r>
      <rPr>
        <sz val="12"/>
        <color theme="1"/>
        <rFont val="Times New Roman"/>
        <family val="1"/>
      </rPr>
      <t>Impact of Mixing on Q</t>
    </r>
  </si>
  <si>
    <r>
      <t>10.</t>
    </r>
    <r>
      <rPr>
        <sz val="7"/>
        <color theme="1"/>
        <rFont val="Times New Roman"/>
        <family val="1"/>
      </rPr>
      <t xml:space="preserve">  </t>
    </r>
    <r>
      <rPr>
        <sz val="12"/>
        <color theme="1"/>
        <rFont val="Times New Roman"/>
        <family val="1"/>
      </rPr>
      <t>Single Box Q Error Plots</t>
    </r>
  </si>
  <si>
    <r>
      <t>11.</t>
    </r>
    <r>
      <rPr>
        <sz val="7"/>
        <color theme="1"/>
        <rFont val="Times New Roman"/>
        <family val="1"/>
      </rPr>
      <t xml:space="preserve">  </t>
    </r>
    <r>
      <rPr>
        <sz val="12"/>
        <color theme="1"/>
        <rFont val="Times New Roman"/>
        <family val="1"/>
      </rPr>
      <t>O</t>
    </r>
    <r>
      <rPr>
        <vertAlign val="subscript"/>
        <sz val="12"/>
        <color theme="1"/>
        <rFont val="Times New Roman"/>
        <family val="1"/>
      </rPr>
      <t>2</t>
    </r>
    <r>
      <rPr>
        <sz val="12"/>
        <color theme="1"/>
        <rFont val="Times New Roman"/>
        <family val="1"/>
      </rPr>
      <t xml:space="preserve"> Gradient Evidence</t>
    </r>
  </si>
  <si>
    <r>
      <t>12.</t>
    </r>
    <r>
      <rPr>
        <sz val="7"/>
        <color theme="1"/>
        <rFont val="Times New Roman"/>
        <family val="1"/>
      </rPr>
      <t xml:space="preserve">  </t>
    </r>
    <r>
      <rPr>
        <sz val="12"/>
        <color theme="1"/>
        <rFont val="Times New Roman"/>
        <family val="1"/>
      </rPr>
      <t>Rain and Salinity</t>
    </r>
  </si>
  <si>
    <r>
      <t>13.</t>
    </r>
    <r>
      <rPr>
        <sz val="7"/>
        <color theme="1"/>
        <rFont val="Times New Roman"/>
        <family val="1"/>
      </rPr>
      <t xml:space="preserve">  </t>
    </r>
    <r>
      <rPr>
        <sz val="12"/>
        <color theme="1"/>
        <rFont val="Times New Roman"/>
        <family val="1"/>
      </rPr>
      <t>Piston Velocity</t>
    </r>
  </si>
  <si>
    <r>
      <t>14.</t>
    </r>
    <r>
      <rPr>
        <sz val="7"/>
        <color theme="1"/>
        <rFont val="Times New Roman"/>
        <family val="1"/>
      </rPr>
      <t xml:space="preserve">  </t>
    </r>
    <r>
      <rPr>
        <sz val="12"/>
        <color theme="1"/>
        <rFont val="Times New Roman"/>
        <family val="1"/>
      </rPr>
      <t>Flow Data</t>
    </r>
  </si>
  <si>
    <r>
      <t>15.</t>
    </r>
    <r>
      <rPr>
        <sz val="7"/>
        <color theme="1"/>
        <rFont val="Times New Roman"/>
        <family val="1"/>
      </rPr>
      <t xml:space="preserve">  </t>
    </r>
    <r>
      <rPr>
        <sz val="12"/>
        <color theme="1"/>
        <rFont val="Times New Roman"/>
        <family val="1"/>
      </rPr>
      <t>O</t>
    </r>
    <r>
      <rPr>
        <vertAlign val="subscript"/>
        <sz val="12"/>
        <color theme="1"/>
        <rFont val="Times New Roman"/>
        <family val="1"/>
      </rPr>
      <t>2</t>
    </r>
    <r>
      <rPr>
        <sz val="12"/>
        <color theme="1"/>
        <rFont val="Times New Roman"/>
        <family val="1"/>
      </rPr>
      <t xml:space="preserve"> Optode Accuracy</t>
    </r>
  </si>
  <si>
    <r>
      <t>16.</t>
    </r>
    <r>
      <rPr>
        <sz val="7"/>
        <color theme="1"/>
        <rFont val="Times New Roman"/>
        <family val="1"/>
      </rPr>
      <t xml:space="preserve">  </t>
    </r>
    <r>
      <rPr>
        <sz val="12"/>
        <color theme="1"/>
        <rFont val="Times New Roman"/>
        <family val="1"/>
      </rPr>
      <t>Long-Term DIC/TA Precision</t>
    </r>
  </si>
  <si>
    <r>
      <t>17.</t>
    </r>
    <r>
      <rPr>
        <sz val="7"/>
        <color theme="1"/>
        <rFont val="Times New Roman"/>
        <family val="1"/>
      </rPr>
      <t xml:space="preserve">  </t>
    </r>
    <r>
      <rPr>
        <sz val="12"/>
        <color theme="1"/>
        <rFont val="Times New Roman"/>
        <family val="1"/>
      </rPr>
      <t>P16 Repeat Hydrography Data</t>
    </r>
  </si>
  <si>
    <t>How to interpret the worksheets…</t>
  </si>
  <si>
    <t>1). All Experimental Data</t>
  </si>
  <si>
    <t>All collected data for each of the four diel field campaigns presented in the main text (May 2014, November 2014, October 2015, and March 2017) is shown here. Columns are:</t>
  </si>
  <si>
    <t>A: Local sample date+time (GMT-10)</t>
  </si>
  <si>
    <t>B: Water temperature (ºC) at collection location (derived from Sea-Bird SBE 16plus V2 SeaCAT CTD Recorder</t>
  </si>
  <si>
    <t>C: Salinity as calculated from the CTD</t>
  </si>
  <si>
    <r>
      <t>D: Total alkalinity (TA, µmol*kg</t>
    </r>
    <r>
      <rPr>
        <vertAlign val="superscript"/>
        <sz val="12"/>
        <color theme="1"/>
        <rFont val="Times New Roman"/>
        <family val="1"/>
      </rPr>
      <t>-1</t>
    </r>
    <r>
      <rPr>
        <sz val="12"/>
        <color theme="1"/>
        <rFont val="Times New Roman"/>
        <family val="1"/>
      </rPr>
      <t>) as determined through open-cell automated titration with a Metrohm AG 876 Dosimat plus</t>
    </r>
  </si>
  <si>
    <t>E: TA normalized to a 35.4 salinity (a value consistent with the top 50 meters of nearby open ocean waters from the P16 dataset (Worksheet 17)</t>
  </si>
  <si>
    <t>F: BLANK</t>
  </si>
  <si>
    <r>
      <t>G: Total dissolved inorganic carbon (DIC, µmol*kg</t>
    </r>
    <r>
      <rPr>
        <vertAlign val="superscript"/>
        <sz val="12"/>
        <color theme="1"/>
        <rFont val="Times New Roman"/>
        <family val="1"/>
      </rPr>
      <t>-1</t>
    </r>
    <r>
      <rPr>
        <sz val="12"/>
        <color theme="1"/>
        <rFont val="Times New Roman"/>
        <family val="1"/>
      </rPr>
      <t>) as determined through a Marianda VINDTA 3D with UIC coulometer</t>
    </r>
  </si>
  <si>
    <t>H: DIC normalized to a 35.4 salinity</t>
  </si>
  <si>
    <r>
      <t>I: DIC (µmol*kg</t>
    </r>
    <r>
      <rPr>
        <vertAlign val="superscript"/>
        <sz val="12"/>
        <color theme="1"/>
        <rFont val="Times New Roman"/>
        <family val="1"/>
      </rPr>
      <t>-1</t>
    </r>
    <r>
      <rPr>
        <sz val="12"/>
        <color theme="1"/>
        <rFont val="Times New Roman"/>
        <family val="1"/>
      </rPr>
      <t>) if seawater was at saturation with an atmosphere containing 400 µatm CO</t>
    </r>
    <r>
      <rPr>
        <vertAlign val="subscript"/>
        <sz val="12"/>
        <color theme="1"/>
        <rFont val="Times New Roman"/>
        <family val="1"/>
      </rPr>
      <t>2</t>
    </r>
    <r>
      <rPr>
        <sz val="12"/>
        <color theme="1"/>
        <rFont val="Times New Roman"/>
        <family val="1"/>
      </rPr>
      <t xml:space="preserve"> at ambient temperature, salinity, and total alkalinity (calculated from CO2SYS).</t>
    </r>
  </si>
  <si>
    <r>
      <t>J: Concentration of aqueous CO</t>
    </r>
    <r>
      <rPr>
        <vertAlign val="subscript"/>
        <sz val="12"/>
        <color theme="1"/>
        <rFont val="Times New Roman"/>
        <family val="1"/>
      </rPr>
      <t>2</t>
    </r>
    <r>
      <rPr>
        <sz val="12"/>
        <color theme="1"/>
        <rFont val="Times New Roman"/>
        <family val="1"/>
      </rPr>
      <t xml:space="preserve"> (µmol*kg</t>
    </r>
    <r>
      <rPr>
        <vertAlign val="superscript"/>
        <sz val="12"/>
        <color theme="1"/>
        <rFont val="Times New Roman"/>
        <family val="1"/>
      </rPr>
      <t>-1</t>
    </r>
    <r>
      <rPr>
        <sz val="12"/>
        <color theme="1"/>
        <rFont val="Times New Roman"/>
        <family val="1"/>
      </rPr>
      <t>) at local DIC, TA, temperature, and salinity (CO2SYS)</t>
    </r>
  </si>
  <si>
    <r>
      <t>K: Concentration of aqueous CO</t>
    </r>
    <r>
      <rPr>
        <vertAlign val="subscript"/>
        <sz val="12"/>
        <color theme="1"/>
        <rFont val="Times New Roman"/>
        <family val="1"/>
      </rPr>
      <t>2</t>
    </r>
    <r>
      <rPr>
        <sz val="12"/>
        <color theme="1"/>
        <rFont val="Times New Roman"/>
        <family val="1"/>
      </rPr>
      <t xml:space="preserve"> that corresponds with the saturation DIC in column I (CO2SYS)</t>
    </r>
  </si>
  <si>
    <t>L: BLANK</t>
  </si>
  <si>
    <t>M: pH calculated from local DIC, TA, temperature, and salinity (CO2SYS)</t>
  </si>
  <si>
    <t>N: BLANK</t>
  </si>
  <si>
    <r>
      <t>O: Dissolved O</t>
    </r>
    <r>
      <rPr>
        <vertAlign val="subscript"/>
        <sz val="12"/>
        <color theme="1"/>
        <rFont val="Times New Roman"/>
        <family val="1"/>
      </rPr>
      <t>2</t>
    </r>
    <r>
      <rPr>
        <sz val="12"/>
        <color theme="1"/>
        <rFont val="Times New Roman"/>
        <family val="1"/>
      </rPr>
      <t xml:space="preserve"> concentrations (O</t>
    </r>
    <r>
      <rPr>
        <vertAlign val="subscript"/>
        <sz val="12"/>
        <color theme="1"/>
        <rFont val="Times New Roman"/>
        <family val="1"/>
      </rPr>
      <t>2</t>
    </r>
    <r>
      <rPr>
        <sz val="12"/>
        <color theme="1"/>
        <rFont val="Times New Roman"/>
        <family val="1"/>
      </rPr>
      <t>, µmol*kg</t>
    </r>
    <r>
      <rPr>
        <vertAlign val="superscript"/>
        <sz val="12"/>
        <color theme="1"/>
        <rFont val="Times New Roman"/>
        <family val="1"/>
      </rPr>
      <t>-1</t>
    </r>
    <r>
      <rPr>
        <sz val="12"/>
        <color theme="1"/>
        <rFont val="Times New Roman"/>
        <family val="1"/>
      </rPr>
      <t>) as measured by the Sea-Bird SBE63 optode</t>
    </r>
  </si>
  <si>
    <r>
      <t>P: O</t>
    </r>
    <r>
      <rPr>
        <vertAlign val="subscript"/>
        <sz val="12"/>
        <color theme="1"/>
        <rFont val="Times New Roman"/>
        <family val="1"/>
      </rPr>
      <t>2</t>
    </r>
    <r>
      <rPr>
        <sz val="12"/>
        <color theme="1"/>
        <rFont val="Times New Roman"/>
        <family val="1"/>
      </rPr>
      <t xml:space="preserve"> salinity-normalized to 35.4</t>
    </r>
  </si>
  <si>
    <r>
      <t>Q: O</t>
    </r>
    <r>
      <rPr>
        <vertAlign val="subscript"/>
        <sz val="12"/>
        <color theme="1"/>
        <rFont val="Times New Roman"/>
        <family val="1"/>
      </rPr>
      <t>2</t>
    </r>
    <r>
      <rPr>
        <sz val="12"/>
        <color theme="1"/>
        <rFont val="Times New Roman"/>
        <family val="1"/>
      </rPr>
      <t xml:space="preserve"> (µmol*L</t>
    </r>
    <r>
      <rPr>
        <vertAlign val="superscript"/>
        <sz val="12"/>
        <color theme="1"/>
        <rFont val="Times New Roman"/>
        <family val="1"/>
      </rPr>
      <t>-1</t>
    </r>
    <r>
      <rPr>
        <sz val="12"/>
        <color theme="1"/>
        <rFont val="Times New Roman"/>
        <family val="1"/>
      </rPr>
      <t>) concentration in seawater if at saturation with the atmosphere at local temperature and salinity</t>
    </r>
  </si>
  <si>
    <r>
      <t>R: Column Q in units of µmol*kg</t>
    </r>
    <r>
      <rPr>
        <vertAlign val="superscript"/>
        <sz val="12"/>
        <color theme="1"/>
        <rFont val="Times New Roman"/>
        <family val="1"/>
      </rPr>
      <t>-1</t>
    </r>
    <r>
      <rPr>
        <sz val="12"/>
        <color theme="1"/>
        <rFont val="Times New Roman"/>
        <family val="1"/>
      </rPr>
      <t xml:space="preserve"> (divided by 1.025 kg*L</t>
    </r>
    <r>
      <rPr>
        <vertAlign val="superscript"/>
        <sz val="12"/>
        <color theme="1"/>
        <rFont val="Times New Roman"/>
        <family val="1"/>
      </rPr>
      <t>-1</t>
    </r>
    <r>
      <rPr>
        <sz val="12"/>
        <color theme="1"/>
        <rFont val="Times New Roman"/>
        <family val="1"/>
      </rPr>
      <t>)</t>
    </r>
  </si>
  <si>
    <t>S: BLANK</t>
  </si>
  <si>
    <t>T: Measured local wind speed (m/s) from on-island weather station</t>
  </si>
  <si>
    <r>
      <t>U: Schmidt number for O</t>
    </r>
    <r>
      <rPr>
        <vertAlign val="subscript"/>
        <sz val="12"/>
        <color theme="1"/>
        <rFont val="Times New Roman"/>
        <family val="1"/>
      </rPr>
      <t>2</t>
    </r>
    <r>
      <rPr>
        <sz val="12"/>
        <color theme="1"/>
        <rFont val="Times New Roman"/>
        <family val="1"/>
      </rPr>
      <t xml:space="preserve"> as calculated using local temperature and constants provided by Wanninkhof (2014, W14)</t>
    </r>
  </si>
  <si>
    <r>
      <t>V: Empirical piston velocities (k</t>
    </r>
    <r>
      <rPr>
        <vertAlign val="subscript"/>
        <sz val="12"/>
        <color theme="1"/>
        <rFont val="Times New Roman"/>
        <family val="1"/>
      </rPr>
      <t>O2</t>
    </r>
    <r>
      <rPr>
        <sz val="12"/>
        <color theme="1"/>
        <rFont val="Times New Roman"/>
        <family val="1"/>
      </rPr>
      <t>, m*hr</t>
    </r>
    <r>
      <rPr>
        <vertAlign val="superscript"/>
        <sz val="12"/>
        <color theme="1"/>
        <rFont val="Times New Roman"/>
        <family val="1"/>
      </rPr>
      <t>-1</t>
    </r>
    <r>
      <rPr>
        <sz val="12"/>
        <color theme="1"/>
        <rFont val="Times New Roman"/>
        <family val="1"/>
      </rPr>
      <t>) for O</t>
    </r>
    <r>
      <rPr>
        <vertAlign val="subscript"/>
        <sz val="12"/>
        <color theme="1"/>
        <rFont val="Times New Roman"/>
        <family val="1"/>
      </rPr>
      <t>2</t>
    </r>
    <r>
      <rPr>
        <sz val="12"/>
        <color theme="1"/>
        <rFont val="Times New Roman"/>
        <family val="1"/>
      </rPr>
      <t xml:space="preserve"> at local wind speeds determined using parameterization of W14</t>
    </r>
  </si>
  <si>
    <r>
      <t>W: Schmidt number for CO</t>
    </r>
    <r>
      <rPr>
        <vertAlign val="subscript"/>
        <sz val="12"/>
        <color theme="1"/>
        <rFont val="Times New Roman"/>
        <family val="1"/>
      </rPr>
      <t>2</t>
    </r>
    <r>
      <rPr>
        <sz val="12"/>
        <color theme="1"/>
        <rFont val="Times New Roman"/>
        <family val="1"/>
      </rPr>
      <t xml:space="preserve"> in accordance with W14</t>
    </r>
  </si>
  <si>
    <r>
      <t>X: Empirical piston velocities for CO</t>
    </r>
    <r>
      <rPr>
        <vertAlign val="subscript"/>
        <sz val="12"/>
        <color theme="1"/>
        <rFont val="Times New Roman"/>
        <family val="1"/>
      </rPr>
      <t>2</t>
    </r>
    <r>
      <rPr>
        <sz val="12"/>
        <color theme="1"/>
        <rFont val="Times New Roman"/>
        <family val="1"/>
      </rPr>
      <t xml:space="preserve"> (k</t>
    </r>
    <r>
      <rPr>
        <vertAlign val="subscript"/>
        <sz val="12"/>
        <color theme="1"/>
        <rFont val="Times New Roman"/>
        <family val="1"/>
      </rPr>
      <t>CO2</t>
    </r>
    <r>
      <rPr>
        <sz val="12"/>
        <color theme="1"/>
        <rFont val="Times New Roman"/>
        <family val="1"/>
      </rPr>
      <t>, m*hr</t>
    </r>
    <r>
      <rPr>
        <vertAlign val="superscript"/>
        <sz val="12"/>
        <color theme="1"/>
        <rFont val="Times New Roman"/>
        <family val="1"/>
      </rPr>
      <t>-1</t>
    </r>
    <r>
      <rPr>
        <sz val="12"/>
        <color theme="1"/>
        <rFont val="Times New Roman"/>
        <family val="1"/>
      </rPr>
      <t>) determined using parameterization of W14</t>
    </r>
  </si>
  <si>
    <r>
      <t>This worksheet also contains plots of diel variability in nO</t>
    </r>
    <r>
      <rPr>
        <vertAlign val="subscript"/>
        <sz val="12"/>
        <color theme="1"/>
        <rFont val="Times New Roman"/>
        <family val="1"/>
      </rPr>
      <t>2</t>
    </r>
    <r>
      <rPr>
        <sz val="12"/>
        <color theme="1"/>
        <rFont val="Times New Roman"/>
        <family val="1"/>
      </rPr>
      <t>, nDIC, and nTA for all 4 field campaigns. These plots correspond directly to data presented in Figure 5 in the main text of the manuscript. Finally, the worksheet contains Google Earth satellite images of Tetiaroa Atoll and the sampling location explored in this study.</t>
    </r>
  </si>
  <si>
    <t>2). Single Box Model Fluxes</t>
  </si>
  <si>
    <r>
      <t>This worksheet contains output of the single box model decomposition of biogeochemical fluxes of nO</t>
    </r>
    <r>
      <rPr>
        <vertAlign val="subscript"/>
        <sz val="12"/>
        <color theme="1"/>
        <rFont val="Times New Roman"/>
        <family val="1"/>
      </rPr>
      <t>2</t>
    </r>
    <r>
      <rPr>
        <sz val="12"/>
        <color theme="1"/>
        <rFont val="Times New Roman"/>
        <family val="1"/>
      </rPr>
      <t>, nTA, and nDIC associated with productivity, calcification, mixing, and gas exchange for each diel field campaign. Each diel dataset begins with its respective data from Worksheet 1. The yellow box under the main data for each dataset contains a set of parameters that can be adjusted to yield different fluxes in the per-hour rates of change immediately following. However, for all data presented in the main text, the only tuned parameter was the residence time (</t>
    </r>
    <r>
      <rPr>
        <sz val="12"/>
        <color theme="1"/>
        <rFont val="Cambria Math"/>
        <family val="1"/>
      </rPr>
      <t xml:space="preserve">𝛕, </t>
    </r>
    <r>
      <rPr>
        <sz val="12"/>
        <color theme="1"/>
        <rFont val="Times New Roman"/>
        <family val="1"/>
      </rPr>
      <t>hours), which was fit using salinity-anomaly recoveries associated with rain events. Per hour rates of change are calculated according to the equations in the main text. Integrations followed a left Riemann sum scheme. Unless otherwise reported, fluxes and integrations are in units of µmol*kg</t>
    </r>
    <r>
      <rPr>
        <vertAlign val="superscript"/>
        <sz val="12"/>
        <color theme="1"/>
        <rFont val="Times New Roman"/>
        <family val="1"/>
      </rPr>
      <t>-1</t>
    </r>
    <r>
      <rPr>
        <sz val="12"/>
        <color theme="1"/>
        <rFont val="Times New Roman"/>
        <family val="1"/>
      </rPr>
      <t>*hr</t>
    </r>
    <r>
      <rPr>
        <vertAlign val="superscript"/>
        <sz val="12"/>
        <color theme="1"/>
        <rFont val="Times New Roman"/>
        <family val="1"/>
      </rPr>
      <t>-1</t>
    </r>
    <r>
      <rPr>
        <sz val="12"/>
        <color theme="1"/>
        <rFont val="Times New Roman"/>
        <family val="1"/>
      </rPr>
      <t>. For this and all other models used in this study, hourly estimates of the productivity quotient (Q) are obtained from dividing the instantaneous flux of O</t>
    </r>
    <r>
      <rPr>
        <vertAlign val="subscript"/>
        <sz val="12"/>
        <color theme="1"/>
        <rFont val="Times New Roman"/>
        <family val="1"/>
      </rPr>
      <t>2</t>
    </r>
    <r>
      <rPr>
        <sz val="12"/>
        <color theme="1"/>
        <rFont val="Times New Roman"/>
        <family val="1"/>
      </rPr>
      <t xml:space="preserve"> due to NEP by the flux of DIC due to NEP. The daily net value of Q, Q</t>
    </r>
    <r>
      <rPr>
        <vertAlign val="subscript"/>
        <sz val="12"/>
        <color theme="1"/>
        <rFont val="Times New Roman"/>
        <family val="1"/>
      </rPr>
      <t>net</t>
    </r>
    <r>
      <rPr>
        <sz val="12"/>
        <color theme="1"/>
        <rFont val="Times New Roman"/>
        <family val="1"/>
      </rPr>
      <t>, is the slope of the regression line through hourly NEP</t>
    </r>
    <r>
      <rPr>
        <vertAlign val="subscript"/>
        <sz val="12"/>
        <color theme="1"/>
        <rFont val="Times New Roman"/>
        <family val="1"/>
      </rPr>
      <t>O2</t>
    </r>
    <r>
      <rPr>
        <sz val="12"/>
        <color theme="1"/>
        <rFont val="Times New Roman"/>
        <family val="1"/>
      </rPr>
      <t xml:space="preserve"> vs hourly NEP</t>
    </r>
    <r>
      <rPr>
        <vertAlign val="subscript"/>
        <sz val="12"/>
        <color theme="1"/>
        <rFont val="Times New Roman"/>
        <family val="1"/>
      </rPr>
      <t>DIC</t>
    </r>
    <r>
      <rPr>
        <sz val="12"/>
        <color theme="1"/>
        <rFont val="Times New Roman"/>
        <family val="1"/>
      </rPr>
      <t xml:space="preserve"> over a 24-hour cycle. The 2σ standard deviation values associated with net daily ecosystem productivity (NEP) and calcification (NEC) are the result of a Monte Carlo error propagation of 5000 iterations using random, normally-distributed numbers around the instrumental uncertainties of DIC (± 3.7 µmol*kg</t>
    </r>
    <r>
      <rPr>
        <vertAlign val="superscript"/>
        <sz val="12"/>
        <color theme="1"/>
        <rFont val="Times New Roman"/>
        <family val="1"/>
      </rPr>
      <t>-1</t>
    </r>
    <r>
      <rPr>
        <sz val="12"/>
        <color theme="1"/>
        <rFont val="Times New Roman"/>
        <family val="1"/>
      </rPr>
      <t>), TA (± 4.3 µmol*kg</t>
    </r>
    <r>
      <rPr>
        <vertAlign val="superscript"/>
        <sz val="12"/>
        <color theme="1"/>
        <rFont val="Times New Roman"/>
        <family val="1"/>
      </rPr>
      <t>-1</t>
    </r>
    <r>
      <rPr>
        <sz val="12"/>
        <color theme="1"/>
        <rFont val="Times New Roman"/>
        <family val="1"/>
      </rPr>
      <t>), and O</t>
    </r>
    <r>
      <rPr>
        <vertAlign val="subscript"/>
        <sz val="12"/>
        <color theme="1"/>
        <rFont val="Times New Roman"/>
        <family val="1"/>
      </rPr>
      <t>2</t>
    </r>
    <r>
      <rPr>
        <sz val="12"/>
        <color theme="1"/>
        <rFont val="Times New Roman"/>
        <family val="1"/>
      </rPr>
      <t xml:space="preserve"> (± 4 µmol*kg</t>
    </r>
    <r>
      <rPr>
        <vertAlign val="superscript"/>
        <sz val="12"/>
        <color theme="1"/>
        <rFont val="Times New Roman"/>
        <family val="1"/>
      </rPr>
      <t>-1</t>
    </r>
    <r>
      <rPr>
        <sz val="12"/>
        <color theme="1"/>
        <rFont val="Times New Roman"/>
        <family val="1"/>
      </rPr>
      <t>) analysis.</t>
    </r>
  </si>
  <si>
    <t>3). Non-Dispersive Model Output</t>
  </si>
  <si>
    <r>
      <t>This worksheet contains the input and output of the non-dispersive flow model explored as part of the study. Review main text for equations. Unless otherwise reported, fluxes and integrations are in units of µmol*kg</t>
    </r>
    <r>
      <rPr>
        <vertAlign val="superscript"/>
        <sz val="12"/>
        <color theme="1"/>
        <rFont val="Times New Roman"/>
        <family val="1"/>
      </rPr>
      <t>-1</t>
    </r>
    <r>
      <rPr>
        <sz val="12"/>
        <color theme="1"/>
        <rFont val="Times New Roman"/>
        <family val="1"/>
      </rPr>
      <t>*hr</t>
    </r>
    <r>
      <rPr>
        <vertAlign val="superscript"/>
        <sz val="12"/>
        <color theme="1"/>
        <rFont val="Times New Roman"/>
        <family val="1"/>
      </rPr>
      <t>-1</t>
    </r>
    <r>
      <rPr>
        <sz val="12"/>
        <color theme="1"/>
        <rFont val="Times New Roman"/>
        <family val="1"/>
      </rPr>
      <t>.</t>
    </r>
  </si>
  <si>
    <t>4). MultiBox Eulerian Inverse Model</t>
  </si>
  <si>
    <r>
      <t>This worksheet contains the input and output of the multi-box Eulerian inverse model explored as part of the study. Review main text for equations. Rows 1 – 5 of this worksheet summarize the tuned parameters that yield the best fit to the diel evolution of nDIC, nTA, and nO</t>
    </r>
    <r>
      <rPr>
        <vertAlign val="subscript"/>
        <sz val="12"/>
        <color theme="1"/>
        <rFont val="Times New Roman"/>
        <family val="1"/>
      </rPr>
      <t>2</t>
    </r>
    <r>
      <rPr>
        <sz val="12"/>
        <color theme="1"/>
        <rFont val="Times New Roman"/>
        <family val="1"/>
      </rPr>
      <t xml:space="preserve"> for each diel field campaign dataset. As the inverse model operates with time steps in units of minutes, fluxes are first presented in units of mol*kg</t>
    </r>
    <r>
      <rPr>
        <vertAlign val="superscript"/>
        <sz val="12"/>
        <color theme="1"/>
        <rFont val="Times New Roman"/>
        <family val="1"/>
      </rPr>
      <t>-1</t>
    </r>
    <r>
      <rPr>
        <sz val="12"/>
        <color theme="1"/>
        <rFont val="Times New Roman"/>
        <family val="1"/>
      </rPr>
      <t>*min</t>
    </r>
    <r>
      <rPr>
        <vertAlign val="superscript"/>
        <sz val="12"/>
        <color theme="1"/>
        <rFont val="Times New Roman"/>
        <family val="1"/>
      </rPr>
      <t>-1</t>
    </r>
    <r>
      <rPr>
        <sz val="12"/>
        <color theme="1"/>
        <rFont val="Times New Roman"/>
        <family val="1"/>
      </rPr>
      <t>. Fluxes are then transformed onto the per hour scale. The time steps are chosen in the model such that the diel cycle captured in the actual dataset maps onto the final 24 hours of a 5-day model run. This worksheet also contains a summary of calculated nDIC, nTA, and nO</t>
    </r>
    <r>
      <rPr>
        <vertAlign val="subscript"/>
        <sz val="12"/>
        <color theme="1"/>
        <rFont val="Times New Roman"/>
        <family val="1"/>
      </rPr>
      <t>2</t>
    </r>
    <r>
      <rPr>
        <sz val="12"/>
        <color theme="1"/>
        <rFont val="Times New Roman"/>
        <family val="1"/>
      </rPr>
      <t xml:space="preserve"> using the model parameters at each respective time step used in the decomposition of data for regression, residual, and error purposes.</t>
    </r>
  </si>
  <si>
    <t>5). Metabolism and Q Summary</t>
  </si>
  <si>
    <t>This worksheet contains an expanded version (inclusive of all sample times and values) of Table 1 from the main text.</t>
  </si>
  <si>
    <t>6). Single Box Piecewise Q</t>
  </si>
  <si>
    <r>
      <t>This worksheet explores the impact of decomposing fluxes of nDIC, nTA, and nO</t>
    </r>
    <r>
      <rPr>
        <vertAlign val="subscript"/>
        <sz val="12"/>
        <color theme="1"/>
        <rFont val="Times New Roman"/>
        <family val="1"/>
      </rPr>
      <t>2</t>
    </r>
    <r>
      <rPr>
        <sz val="12"/>
        <color theme="1"/>
        <rFont val="Times New Roman"/>
        <family val="1"/>
      </rPr>
      <t xml:space="preserve"> into hourly and net daily values of Q if piecewise rates of change (corresponding to particular periods of the day where nDIC, nTA, and nO</t>
    </r>
    <r>
      <rPr>
        <vertAlign val="subscript"/>
        <sz val="12"/>
        <color theme="1"/>
        <rFont val="Times New Roman"/>
        <family val="1"/>
      </rPr>
      <t>2</t>
    </r>
    <r>
      <rPr>
        <sz val="12"/>
        <color theme="1"/>
        <rFont val="Times New Roman"/>
        <family val="1"/>
      </rPr>
      <t xml:space="preserve"> follow similar slopes) are used instead of point-by-point rate of change. This approach is done in the single box model framework; hence the worksheet layout is in a similar format. For each field campaign dataset, the total rate of change in nDIC, nTA, and nO</t>
    </r>
    <r>
      <rPr>
        <vertAlign val="subscript"/>
        <sz val="12"/>
        <color theme="1"/>
        <rFont val="Times New Roman"/>
        <family val="1"/>
      </rPr>
      <t>2</t>
    </r>
    <r>
      <rPr>
        <sz val="12"/>
        <color theme="1"/>
        <rFont val="Times New Roman"/>
        <family val="1"/>
      </rPr>
      <t xml:space="preserve"> is calculated piecewise as the average over multiple time points where these constituents followed a particular slope (for example: 11 AM – 5 PM, 5 PM – 11 PM, 11 PM – 5 AM, and 7 AM – 11 AM in the May 2014 dataset). The instantaneous hourly advection and gas exchange fluxes are calculated in accordance with Worksheet 2 and equations in the main text. In decomposing the remaining flux contributions due to photosynthesis/respiration and calcification/dissolution, which is interpreted as the residual of the total rate of change in nDIC, nTA, nO</t>
    </r>
    <r>
      <rPr>
        <vertAlign val="subscript"/>
        <sz val="12"/>
        <color theme="1"/>
        <rFont val="Times New Roman"/>
        <family val="1"/>
      </rPr>
      <t>2</t>
    </r>
    <r>
      <rPr>
        <sz val="12"/>
        <color theme="1"/>
        <rFont val="Times New Roman"/>
        <family val="1"/>
      </rPr>
      <t xml:space="preserve"> after corrections for other processes, the total rate of change applied is specific to the timing of the particular measurement (all samples taken between 11 AM – 5 PM will have the same d[nDIC]/dt to account for, for example). In times where a sample overlaps with multiple rate of change brackets (like 5 PM), the total rate of change is taken as the average of adjacent brackets.</t>
    </r>
  </si>
  <si>
    <t>7). Q Assumption Error</t>
  </si>
  <si>
    <r>
      <t>This worksheet explores the errors associated with assuming particular values of Q on estimates of daily NEP and NEC when compared to empirically-determined values of these metabolic processes using co-located samples of nDIC and nTA. For both NEP and NEC estimates using Q, we used hourly NEP</t>
    </r>
    <r>
      <rPr>
        <vertAlign val="subscript"/>
        <sz val="12"/>
        <color theme="1"/>
        <rFont val="Times New Roman"/>
        <family val="1"/>
      </rPr>
      <t xml:space="preserve">O2 </t>
    </r>
    <r>
      <rPr>
        <sz val="12"/>
        <color theme="1"/>
        <rFont val="Times New Roman"/>
        <family val="1"/>
      </rPr>
      <t>data derived from the multi-box Eulerian inverse model for each diel campaign dataset. NEP estimates are simply applying a Q to NEP</t>
    </r>
    <r>
      <rPr>
        <vertAlign val="subscript"/>
        <sz val="12"/>
        <color theme="1"/>
        <rFont val="Times New Roman"/>
        <family val="1"/>
      </rPr>
      <t>O2</t>
    </r>
    <r>
      <rPr>
        <sz val="12"/>
        <color theme="1"/>
        <rFont val="Times New Roman"/>
        <family val="1"/>
      </rPr>
      <t xml:space="preserve"> data to produce hourly NEP</t>
    </r>
    <r>
      <rPr>
        <vertAlign val="subscript"/>
        <sz val="12"/>
        <color theme="1"/>
        <rFont val="Times New Roman"/>
        <family val="1"/>
      </rPr>
      <t>DIC</t>
    </r>
    <r>
      <rPr>
        <sz val="12"/>
        <color theme="1"/>
        <rFont val="Times New Roman"/>
        <family val="1"/>
      </rPr>
      <t>, and then integrating these fluxes (left Riemann sums) over 24 hours to produce daily NEP. Data decomposition for NEC followed the methods of Barnes (1983):</t>
    </r>
  </si>
  <si>
    <r>
      <t>where “ΔO</t>
    </r>
    <r>
      <rPr>
        <vertAlign val="subscript"/>
        <sz val="12"/>
        <color theme="1"/>
        <rFont val="Times New Roman"/>
        <family val="1"/>
      </rPr>
      <t>2</t>
    </r>
    <r>
      <rPr>
        <sz val="12"/>
        <color theme="1"/>
        <rFont val="Times New Roman"/>
        <family val="1"/>
      </rPr>
      <t>” is the change in O</t>
    </r>
    <r>
      <rPr>
        <vertAlign val="subscript"/>
        <sz val="12"/>
        <color theme="1"/>
        <rFont val="Times New Roman"/>
        <family val="1"/>
      </rPr>
      <t>2</t>
    </r>
    <r>
      <rPr>
        <sz val="12"/>
        <color theme="1"/>
        <rFont val="Times New Roman"/>
        <family val="1"/>
      </rPr>
      <t xml:space="preserve"> associated with primary productivity between two sampling times (estimated from NEP</t>
    </r>
    <r>
      <rPr>
        <vertAlign val="subscript"/>
        <sz val="12"/>
        <color theme="1"/>
        <rFont val="Times New Roman"/>
        <family val="1"/>
      </rPr>
      <t>O2</t>
    </r>
    <r>
      <rPr>
        <sz val="12"/>
        <color theme="1"/>
        <rFont val="Times New Roman"/>
        <family val="1"/>
      </rPr>
      <t>), “K” is an expression equivalent to the ratio of carbonate alkalinity to DIC, “BA” is borate alkalinity, “HA” is hydroxyl alkalinity, and subscript “o” denotes values of each parameter at an initial time point. K, BA, and HA are all pH dependent and can be solved independently of knowledge of DIC and/or total alkalinity. The result of the equation is a flux of calcification between time points in units of alkalinity. We divide this by two to express the value in units of DIC. These fluxes are then summed over a 24-hour period to provide an estimate of integrated daily NEC and compared to NEC rates calculated from the multi-box Eulerian inverse model to produce % error. Our approach also assumes perfect information about values of TAo at the time each sensor-based pH and O</t>
    </r>
    <r>
      <rPr>
        <vertAlign val="subscript"/>
        <sz val="12"/>
        <color theme="1"/>
        <rFont val="Times New Roman"/>
        <family val="1"/>
      </rPr>
      <t>2</t>
    </r>
    <r>
      <rPr>
        <sz val="12"/>
        <color theme="1"/>
        <rFont val="Times New Roman"/>
        <family val="1"/>
      </rPr>
      <t xml:space="preserve"> measurement was made. Errors in NEC are magnified by the use of a constant value of TAo, which is the approach used in previous determinations of metabolism on reefs using Q.</t>
    </r>
  </si>
  <si>
    <r>
      <t>8). Missing O</t>
    </r>
    <r>
      <rPr>
        <b/>
        <vertAlign val="subscript"/>
        <sz val="12"/>
        <color theme="1"/>
        <rFont val="Times New Roman"/>
        <family val="1"/>
      </rPr>
      <t>2</t>
    </r>
    <r>
      <rPr>
        <b/>
        <sz val="12"/>
        <color theme="1"/>
        <rFont val="Times New Roman"/>
        <family val="1"/>
      </rPr>
      <t xml:space="preserve"> Flux if Redfield</t>
    </r>
  </si>
  <si>
    <r>
      <t>This worksheet explores the daily evolution of a missing O</t>
    </r>
    <r>
      <rPr>
        <vertAlign val="subscript"/>
        <sz val="12"/>
        <color theme="1"/>
        <rFont val="Times New Roman"/>
        <family val="1"/>
      </rPr>
      <t>2</t>
    </r>
    <r>
      <rPr>
        <sz val="12"/>
        <color theme="1"/>
        <rFont val="Times New Roman"/>
        <family val="1"/>
      </rPr>
      <t xml:space="preserve"> flux that would have to be accounted for in each diel dataset if Redfield-Hedges stoichiometry is regulating photosynthetic/respiratory fluxes. It also explores the extent to which standing bubble formation/dissolution/evasion can explain trends in this missing flux. For each diel campaign dataset, hourly fluxes of gas exchange, mixing, productivity, and calcification are calculated for nDIC in accordance with parameterizations used in the single box model framework. Fluxes of gas exchange and mixing are calculated similarly for O</t>
    </r>
    <r>
      <rPr>
        <vertAlign val="subscript"/>
        <sz val="12"/>
        <color theme="1"/>
        <rFont val="Times New Roman"/>
        <family val="1"/>
      </rPr>
      <t>2</t>
    </r>
    <r>
      <rPr>
        <sz val="12"/>
        <color theme="1"/>
        <rFont val="Times New Roman"/>
        <family val="1"/>
      </rPr>
      <t>, but hourly NEP</t>
    </r>
    <r>
      <rPr>
        <vertAlign val="subscript"/>
        <sz val="12"/>
        <color theme="1"/>
        <rFont val="Times New Roman"/>
        <family val="1"/>
      </rPr>
      <t>O2</t>
    </r>
    <r>
      <rPr>
        <sz val="12"/>
        <color theme="1"/>
        <rFont val="Times New Roman"/>
        <family val="1"/>
      </rPr>
      <t xml:space="preserve"> is set to be equal to -1.45*NEP</t>
    </r>
    <r>
      <rPr>
        <vertAlign val="subscript"/>
        <sz val="12"/>
        <color theme="1"/>
        <rFont val="Times New Roman"/>
        <family val="1"/>
      </rPr>
      <t>DIC</t>
    </r>
    <r>
      <rPr>
        <sz val="12"/>
        <color theme="1"/>
        <rFont val="Times New Roman"/>
        <family val="1"/>
      </rPr>
      <t>. The single box model then subtracts the sum of hourly productivity, mixing, and gas exchange fluxes from the total d[nO</t>
    </r>
    <r>
      <rPr>
        <vertAlign val="subscript"/>
        <sz val="12"/>
        <color theme="1"/>
        <rFont val="Times New Roman"/>
        <family val="1"/>
      </rPr>
      <t>2</t>
    </r>
    <r>
      <rPr>
        <sz val="12"/>
        <color theme="1"/>
        <rFont val="Times New Roman"/>
        <family val="1"/>
      </rPr>
      <t>]/dt to produce a residual, which is considered to be the implied missing flux of O</t>
    </r>
    <r>
      <rPr>
        <vertAlign val="subscript"/>
        <sz val="12"/>
        <color theme="1"/>
        <rFont val="Times New Roman"/>
        <family val="1"/>
      </rPr>
      <t>2</t>
    </r>
    <r>
      <rPr>
        <sz val="12"/>
        <color theme="1"/>
        <rFont val="Times New Roman"/>
        <family val="1"/>
      </rPr>
      <t>. The 2σ standard deviation values associated with these missing fluxes are the result of a Monte Carlo error propagation of 5000 iterations using random, normally-distributed numbers around the instrumental uncertainties of DIC (± 3.7 µmol*kg</t>
    </r>
    <r>
      <rPr>
        <vertAlign val="superscript"/>
        <sz val="12"/>
        <color theme="1"/>
        <rFont val="Times New Roman"/>
        <family val="1"/>
      </rPr>
      <t>-1</t>
    </r>
    <r>
      <rPr>
        <sz val="12"/>
        <color theme="1"/>
        <rFont val="Times New Roman"/>
        <family val="1"/>
      </rPr>
      <t>), TA (± 4.3 µmol*kg</t>
    </r>
    <r>
      <rPr>
        <vertAlign val="superscript"/>
        <sz val="12"/>
        <color theme="1"/>
        <rFont val="Times New Roman"/>
        <family val="1"/>
      </rPr>
      <t>-1</t>
    </r>
    <r>
      <rPr>
        <sz val="12"/>
        <color theme="1"/>
        <rFont val="Times New Roman"/>
        <family val="1"/>
      </rPr>
      <t>), and O</t>
    </r>
    <r>
      <rPr>
        <vertAlign val="subscript"/>
        <sz val="12"/>
        <color theme="1"/>
        <rFont val="Times New Roman"/>
        <family val="1"/>
      </rPr>
      <t>2</t>
    </r>
    <r>
      <rPr>
        <sz val="12"/>
        <color theme="1"/>
        <rFont val="Times New Roman"/>
        <family val="1"/>
      </rPr>
      <t xml:space="preserve"> (± 4 µmol*kg</t>
    </r>
    <r>
      <rPr>
        <vertAlign val="superscript"/>
        <sz val="12"/>
        <color theme="1"/>
        <rFont val="Times New Roman"/>
        <family val="1"/>
      </rPr>
      <t>-1</t>
    </r>
    <r>
      <rPr>
        <sz val="12"/>
        <color theme="1"/>
        <rFont val="Times New Roman"/>
        <family val="1"/>
      </rPr>
      <t>) analysis.</t>
    </r>
  </si>
  <si>
    <r>
      <t>In exploring the impact of standing bubbles, calculations involved calculating pressure of a bubble at depth (P</t>
    </r>
    <r>
      <rPr>
        <vertAlign val="subscript"/>
        <sz val="12"/>
        <color theme="1"/>
        <rFont val="Times New Roman"/>
        <family val="1"/>
      </rPr>
      <t>B</t>
    </r>
    <r>
      <rPr>
        <sz val="12"/>
        <color theme="1"/>
        <rFont val="Times New Roman"/>
        <family val="1"/>
      </rPr>
      <t>), which is equal to the pressure of the atmosphere at the surface of the ocean + hydrostatic pressure. The pressure of O</t>
    </r>
    <r>
      <rPr>
        <vertAlign val="subscript"/>
        <sz val="12"/>
        <color theme="1"/>
        <rFont val="Times New Roman"/>
        <family val="1"/>
      </rPr>
      <t>2</t>
    </r>
    <r>
      <rPr>
        <sz val="12"/>
        <color theme="1"/>
        <rFont val="Times New Roman"/>
        <family val="1"/>
      </rPr>
      <t xml:space="preserve"> inside the bubble can be expressed as:</t>
    </r>
  </si>
  <si>
    <r>
      <t>where P</t>
    </r>
    <r>
      <rPr>
        <vertAlign val="subscript"/>
        <sz val="12"/>
        <color theme="1"/>
        <rFont val="Times New Roman"/>
        <family val="1"/>
      </rPr>
      <t>H2O</t>
    </r>
    <r>
      <rPr>
        <sz val="12"/>
        <color theme="1"/>
        <rFont val="Times New Roman"/>
        <family val="1"/>
      </rPr>
      <t xml:space="preserve"> is the partial pressure of water vapor and X</t>
    </r>
    <r>
      <rPr>
        <vertAlign val="subscript"/>
        <sz val="12"/>
        <color theme="1"/>
        <rFont val="Times New Roman"/>
        <family val="1"/>
      </rPr>
      <t>O2</t>
    </r>
    <r>
      <rPr>
        <sz val="12"/>
        <color theme="1"/>
        <rFont val="Times New Roman"/>
        <family val="1"/>
      </rPr>
      <t xml:space="preserve"> is the mole fraction of O</t>
    </r>
    <r>
      <rPr>
        <vertAlign val="subscript"/>
        <sz val="12"/>
        <color theme="1"/>
        <rFont val="Times New Roman"/>
        <family val="1"/>
      </rPr>
      <t>2</t>
    </r>
    <r>
      <rPr>
        <sz val="12"/>
        <color theme="1"/>
        <rFont val="Times New Roman"/>
        <family val="1"/>
      </rPr>
      <t xml:space="preserve"> in the bubble. Using Henry’s Law, P</t>
    </r>
    <r>
      <rPr>
        <vertAlign val="subscript"/>
        <sz val="12"/>
        <color theme="1"/>
        <rFont val="Times New Roman"/>
        <family val="1"/>
      </rPr>
      <t>O2</t>
    </r>
    <r>
      <rPr>
        <sz val="12"/>
        <color theme="1"/>
        <rFont val="Times New Roman"/>
        <family val="1"/>
      </rPr>
      <t>*K</t>
    </r>
    <r>
      <rPr>
        <vertAlign val="subscript"/>
        <sz val="12"/>
        <color theme="1"/>
        <rFont val="Times New Roman"/>
        <family val="1"/>
      </rPr>
      <t>H,O2</t>
    </r>
    <r>
      <rPr>
        <sz val="12"/>
        <color theme="1"/>
        <rFont val="Times New Roman"/>
        <family val="1"/>
      </rPr>
      <t xml:space="preserve"> = [O</t>
    </r>
    <r>
      <rPr>
        <vertAlign val="subscript"/>
        <sz val="12"/>
        <color theme="1"/>
        <rFont val="Times New Roman"/>
        <family val="1"/>
      </rPr>
      <t>2</t>
    </r>
    <r>
      <rPr>
        <sz val="12"/>
        <color theme="1"/>
        <rFont val="Times New Roman"/>
        <family val="1"/>
      </rPr>
      <t>]</t>
    </r>
    <r>
      <rPr>
        <vertAlign val="subscript"/>
        <sz val="12"/>
        <color theme="1"/>
        <rFont val="Times New Roman"/>
        <family val="1"/>
      </rPr>
      <t>aq</t>
    </r>
    <r>
      <rPr>
        <sz val="12"/>
        <color theme="1"/>
        <rFont val="Times New Roman"/>
        <family val="1"/>
      </rPr>
      <t>. So, (P</t>
    </r>
    <r>
      <rPr>
        <vertAlign val="subscript"/>
        <sz val="12"/>
        <color theme="1"/>
        <rFont val="Times New Roman"/>
        <family val="1"/>
      </rPr>
      <t>B</t>
    </r>
    <r>
      <rPr>
        <sz val="12"/>
        <color theme="1"/>
        <rFont val="Times New Roman"/>
        <family val="1"/>
      </rPr>
      <t xml:space="preserve"> – P</t>
    </r>
    <r>
      <rPr>
        <vertAlign val="subscript"/>
        <sz val="12"/>
        <color theme="1"/>
        <rFont val="Times New Roman"/>
        <family val="1"/>
      </rPr>
      <t>H2O</t>
    </r>
    <r>
      <rPr>
        <sz val="12"/>
        <color theme="1"/>
        <rFont val="Times New Roman"/>
        <family val="1"/>
      </rPr>
      <t>) * X</t>
    </r>
    <r>
      <rPr>
        <vertAlign val="subscript"/>
        <sz val="12"/>
        <color theme="1"/>
        <rFont val="Times New Roman"/>
        <family val="1"/>
      </rPr>
      <t>O2</t>
    </r>
    <r>
      <rPr>
        <sz val="12"/>
        <color theme="1"/>
        <rFont val="Times New Roman"/>
        <family val="1"/>
      </rPr>
      <t xml:space="preserve"> = P</t>
    </r>
    <r>
      <rPr>
        <vertAlign val="subscript"/>
        <sz val="12"/>
        <color theme="1"/>
        <rFont val="Times New Roman"/>
        <family val="1"/>
      </rPr>
      <t>O2</t>
    </r>
    <r>
      <rPr>
        <sz val="12"/>
        <color theme="1"/>
        <rFont val="Times New Roman"/>
        <family val="1"/>
      </rPr>
      <t xml:space="preserve"> = [O</t>
    </r>
    <r>
      <rPr>
        <vertAlign val="subscript"/>
        <sz val="12"/>
        <color theme="1"/>
        <rFont val="Times New Roman"/>
        <family val="1"/>
      </rPr>
      <t>2</t>
    </r>
    <r>
      <rPr>
        <sz val="12"/>
        <color theme="1"/>
        <rFont val="Times New Roman"/>
        <family val="1"/>
      </rPr>
      <t>]</t>
    </r>
    <r>
      <rPr>
        <vertAlign val="subscript"/>
        <sz val="12"/>
        <color theme="1"/>
        <rFont val="Times New Roman"/>
        <family val="1"/>
      </rPr>
      <t xml:space="preserve">aq </t>
    </r>
    <r>
      <rPr>
        <sz val="12"/>
        <color theme="1"/>
        <rFont val="Times New Roman"/>
        <family val="1"/>
      </rPr>
      <t>/ K</t>
    </r>
    <r>
      <rPr>
        <vertAlign val="subscript"/>
        <sz val="12"/>
        <color theme="1"/>
        <rFont val="Times New Roman"/>
        <family val="1"/>
      </rPr>
      <t>H,O2</t>
    </r>
    <r>
      <rPr>
        <sz val="12"/>
        <color theme="1"/>
        <rFont val="Times New Roman"/>
        <family val="1"/>
      </rPr>
      <t>…or:</t>
    </r>
  </si>
  <si>
    <r>
      <t>The number of moles of total gas in bubbles can be expressed as n</t>
    </r>
    <r>
      <rPr>
        <vertAlign val="subscript"/>
        <sz val="12"/>
        <color theme="1"/>
        <rFont val="Times New Roman"/>
        <family val="1"/>
      </rPr>
      <t>gas</t>
    </r>
    <r>
      <rPr>
        <sz val="12"/>
        <color theme="1"/>
        <rFont val="Times New Roman"/>
        <family val="1"/>
      </rPr>
      <t xml:space="preserve"> = n</t>
    </r>
    <r>
      <rPr>
        <vertAlign val="subscript"/>
        <sz val="12"/>
        <color theme="1"/>
        <rFont val="Times New Roman"/>
        <family val="1"/>
      </rPr>
      <t>O2 Missing</t>
    </r>
    <r>
      <rPr>
        <sz val="12"/>
        <color theme="1"/>
        <rFont val="Times New Roman"/>
        <family val="1"/>
      </rPr>
      <t xml:space="preserve"> / X</t>
    </r>
    <r>
      <rPr>
        <vertAlign val="subscript"/>
        <sz val="12"/>
        <color theme="1"/>
        <rFont val="Times New Roman"/>
        <family val="1"/>
      </rPr>
      <t>O2</t>
    </r>
    <r>
      <rPr>
        <sz val="12"/>
        <color theme="1"/>
        <rFont val="Times New Roman"/>
        <family val="1"/>
      </rPr>
      <t>. We then use the ideal gas law, PV = nRT, to solve for volume of bubbles needed to explain the missing O</t>
    </r>
    <r>
      <rPr>
        <vertAlign val="subscript"/>
        <sz val="12"/>
        <color theme="1"/>
        <rFont val="Times New Roman"/>
        <family val="1"/>
      </rPr>
      <t>2</t>
    </r>
    <r>
      <rPr>
        <sz val="12"/>
        <color theme="1"/>
        <rFont val="Times New Roman"/>
        <family val="1"/>
      </rPr>
      <t xml:space="preserve"> fluxes. We also assume the bubbles have an average diameter of 4 mm and generally follow the shape of a sphere (V = 4/3πr</t>
    </r>
    <r>
      <rPr>
        <vertAlign val="superscript"/>
        <sz val="12"/>
        <color theme="1"/>
        <rFont val="Times New Roman"/>
        <family val="1"/>
      </rPr>
      <t>3</t>
    </r>
    <r>
      <rPr>
        <sz val="12"/>
        <color theme="1"/>
        <rFont val="Times New Roman"/>
        <family val="1"/>
      </rPr>
      <t>).</t>
    </r>
  </si>
  <si>
    <t>9). Impact of Mixing on Q</t>
  </si>
  <si>
    <t>Mixing between two parcels of water from different portions of the reef flat could be modeled using measurements from field campaigns of similar residence times (to capture the influence of flow) taken at similar times. The October 2015 and November 2014 campaigns have similar residence times/flow rates and were used to explore this potential phenomenon for various instances of potential mixtures during the day and night. This worksheet investigates the impact of those mixtures on implied values of Q. See main text for more details.</t>
  </si>
  <si>
    <t>10). Single Box Q Error Plots</t>
  </si>
  <si>
    <r>
      <t>This worksheet contains the error exploration plots that calculate empirical Q across a wide range of piston velocities and residence times and also account for instrumental uncertainties in measurements of nDIC, nTA, and nO</t>
    </r>
    <r>
      <rPr>
        <vertAlign val="subscript"/>
        <sz val="12"/>
        <color theme="1"/>
        <rFont val="Times New Roman"/>
        <family val="1"/>
      </rPr>
      <t>2</t>
    </r>
    <r>
      <rPr>
        <sz val="12"/>
        <color theme="1"/>
        <rFont val="Times New Roman"/>
        <family val="1"/>
      </rPr>
      <t xml:space="preserve"> (see main text for details). While the plot for Q = -1 is for the October 2015 dataset is presented as Figure 7 in the manuscript, this worksheet contains plots for all datasets for Q = -1 and Q = -1.45.</t>
    </r>
  </si>
  <si>
    <r>
      <t>11). O</t>
    </r>
    <r>
      <rPr>
        <b/>
        <vertAlign val="subscript"/>
        <sz val="12"/>
        <color theme="1"/>
        <rFont val="Times New Roman"/>
        <family val="1"/>
      </rPr>
      <t>2</t>
    </r>
    <r>
      <rPr>
        <b/>
        <sz val="12"/>
        <color theme="1"/>
        <rFont val="Times New Roman"/>
        <family val="1"/>
      </rPr>
      <t xml:space="preserve"> Gradient Evidence</t>
    </r>
  </si>
  <si>
    <r>
      <t>This worksheet contains the O</t>
    </r>
    <r>
      <rPr>
        <vertAlign val="subscript"/>
        <sz val="12"/>
        <color theme="1"/>
        <rFont val="Times New Roman"/>
        <family val="1"/>
      </rPr>
      <t>2</t>
    </r>
    <r>
      <rPr>
        <sz val="12"/>
        <color theme="1"/>
        <rFont val="Times New Roman"/>
        <family val="1"/>
      </rPr>
      <t xml:space="preserve"> evolution gradient data collected on kayak and handheld O</t>
    </r>
    <r>
      <rPr>
        <vertAlign val="subscript"/>
        <sz val="12"/>
        <color theme="1"/>
        <rFont val="Times New Roman"/>
        <family val="1"/>
      </rPr>
      <t>2</t>
    </r>
    <r>
      <rPr>
        <sz val="12"/>
        <color theme="1"/>
        <rFont val="Times New Roman"/>
        <family val="1"/>
      </rPr>
      <t xml:space="preserve"> probe (ThermoScientific ORION A329) on Tetiaroa’s reef flat on 02 April 2017 between 2 PM and 4 PM local time. A heatmap of the distribution of this data near the sampling location is also provided. This data served as the motivation for the multi-box Eulerian inverse model approach to biogeochemical decomposition.</t>
    </r>
  </si>
  <si>
    <t>12). Rain and Salinity</t>
  </si>
  <si>
    <t>This worksheet contains example rain recovery events on Tetiaroa from October 2015 and January 2016 along with associated rainfall amounts (as measured by the NASA Tropical Rainfall Measuring Mission.</t>
  </si>
  <si>
    <t>13). Piston Velocity</t>
  </si>
  <si>
    <r>
      <t>This worksheet contains explores piston velocity parameterizations of Wanninkhof (1992), Cole and Caraco (1998), Ho et al. (2006), W14, and Ho et al. (2016) for a windspeed range 0 – 20 m*s</t>
    </r>
    <r>
      <rPr>
        <vertAlign val="superscript"/>
        <sz val="12"/>
        <color theme="1"/>
        <rFont val="Times New Roman"/>
        <family val="1"/>
      </rPr>
      <t>-1</t>
    </r>
    <r>
      <rPr>
        <sz val="12"/>
        <color theme="1"/>
        <rFont val="Times New Roman"/>
        <family val="1"/>
      </rPr>
      <t>. Wind speeds explored in this study are typically between 3 – 5 m*s</t>
    </r>
    <r>
      <rPr>
        <vertAlign val="superscript"/>
        <sz val="12"/>
        <color theme="1"/>
        <rFont val="Times New Roman"/>
        <family val="1"/>
      </rPr>
      <t>-1</t>
    </r>
    <r>
      <rPr>
        <sz val="12"/>
        <color theme="1"/>
        <rFont val="Times New Roman"/>
        <family val="1"/>
      </rPr>
      <t xml:space="preserve"> and never exceed 8 m*s</t>
    </r>
    <r>
      <rPr>
        <vertAlign val="superscript"/>
        <sz val="12"/>
        <color theme="1"/>
        <rFont val="Times New Roman"/>
        <family val="1"/>
      </rPr>
      <t>-1</t>
    </r>
    <r>
      <rPr>
        <sz val="12"/>
        <color theme="1"/>
        <rFont val="Times New Roman"/>
        <family val="1"/>
      </rPr>
      <t xml:space="preserve">. At those speeds, differences between parameterizations are perceived to be negligible, though we acknowledge the ongoing discussion in the literature on the </t>
    </r>
    <r>
      <rPr>
        <i/>
        <sz val="12"/>
        <color theme="1"/>
        <rFont val="Times New Roman"/>
        <family val="1"/>
      </rPr>
      <t>ideal</t>
    </r>
    <r>
      <rPr>
        <sz val="12"/>
        <color theme="1"/>
        <rFont val="Times New Roman"/>
        <family val="1"/>
      </rPr>
      <t xml:space="preserve"> parameterization of piston velocity in reef environments.</t>
    </r>
  </si>
  <si>
    <t>14). Flow Data</t>
  </si>
  <si>
    <t>This worksheet contains field notes about flow conditions at various locations on Tetiaroa’s reef flat (GPS coordinates provided) as measured using a current meter in November 2015 (local time indicated in worksheet).</t>
  </si>
  <si>
    <r>
      <t>15). O</t>
    </r>
    <r>
      <rPr>
        <b/>
        <vertAlign val="subscript"/>
        <sz val="12"/>
        <color theme="1"/>
        <rFont val="Times New Roman"/>
        <family val="1"/>
      </rPr>
      <t>2</t>
    </r>
    <r>
      <rPr>
        <b/>
        <sz val="12"/>
        <color theme="1"/>
        <rFont val="Times New Roman"/>
        <family val="1"/>
      </rPr>
      <t xml:space="preserve"> Optode Accuracy</t>
    </r>
  </si>
  <si>
    <r>
      <t>This worksheet contains comparison data between the CTD optode used in this study and Winkler titrations for measuring aqueous O</t>
    </r>
    <r>
      <rPr>
        <vertAlign val="subscript"/>
        <sz val="12"/>
        <color theme="1"/>
        <rFont val="Times New Roman"/>
        <family val="1"/>
      </rPr>
      <t>2</t>
    </r>
    <r>
      <rPr>
        <sz val="12"/>
        <color theme="1"/>
        <rFont val="Times New Roman"/>
        <family val="1"/>
      </rPr>
      <t xml:space="preserve"> concentrations from Tetiaroa (November 2014). Across the diel cycle’s worth of samples presented here (n = 14), the two techniques agree within ± 4 µmol*kg</t>
    </r>
    <r>
      <rPr>
        <vertAlign val="superscript"/>
        <sz val="12"/>
        <color theme="1"/>
        <rFont val="Times New Roman"/>
        <family val="1"/>
      </rPr>
      <t>-1</t>
    </r>
    <r>
      <rPr>
        <sz val="12"/>
        <color theme="1"/>
        <rFont val="Times New Roman"/>
        <family val="1"/>
      </rPr>
      <t xml:space="preserve"> (2σ stdev).</t>
    </r>
  </si>
  <si>
    <t>16). Long-Term DIC/TA Precision</t>
  </si>
  <si>
    <t>This worksheet contains data from multiple analyses of certified reference materials (CRMs) for TA and DIC provided by Andrew Dickson (Scripps Institution of Oceanography) from 2014 – 2017. Long-term precision on DIC and TA based on repeated measurements (n = 46 for DIC; 41 for TA) of CRM materials was ± 3.7 µmol/kg and ± 4.3 µmol/kg (2σ stdev.), respectively.</t>
  </si>
  <si>
    <t>17). P16 Repeat Hydrography Data</t>
  </si>
  <si>
    <r>
      <t>This worksheet contains the biogeochemical data about open ocean source waters near Tetiaroa (GPS data provided) as collected as part of the CLIVAR Repeat Section P16 Hydrography Cruise (Talley et al., 2016; Cross et al., 2017). The top 50 meters of O</t>
    </r>
    <r>
      <rPr>
        <vertAlign val="subscript"/>
        <sz val="12"/>
        <color theme="1"/>
        <rFont val="Times New Roman"/>
        <family val="1"/>
      </rPr>
      <t>2</t>
    </r>
    <r>
      <rPr>
        <sz val="12"/>
        <color theme="1"/>
        <rFont val="Times New Roman"/>
        <family val="1"/>
      </rPr>
      <t>, DIC, and TA data were averaged (in the context of the average salinity across the same depth) to yield an estimate of source water conditions in these parameters. This average (197 µmol*kg</t>
    </r>
    <r>
      <rPr>
        <vertAlign val="superscript"/>
        <sz val="12"/>
        <color theme="1"/>
        <rFont val="Times New Roman"/>
        <family val="1"/>
      </rPr>
      <t>-1</t>
    </r>
    <r>
      <rPr>
        <sz val="12"/>
        <color theme="1"/>
        <rFont val="Times New Roman"/>
        <family val="1"/>
      </rPr>
      <t xml:space="preserve"> O</t>
    </r>
    <r>
      <rPr>
        <vertAlign val="subscript"/>
        <sz val="12"/>
        <color theme="1"/>
        <rFont val="Times New Roman"/>
        <family val="1"/>
      </rPr>
      <t>2</t>
    </r>
    <r>
      <rPr>
        <sz val="12"/>
        <color theme="1"/>
        <rFont val="Times New Roman"/>
        <family val="1"/>
      </rPr>
      <t>, 1978 µmol*kg</t>
    </r>
    <r>
      <rPr>
        <vertAlign val="superscript"/>
        <sz val="12"/>
        <color theme="1"/>
        <rFont val="Times New Roman"/>
        <family val="1"/>
      </rPr>
      <t>-1</t>
    </r>
    <r>
      <rPr>
        <sz val="12"/>
        <color theme="1"/>
        <rFont val="Times New Roman"/>
        <family val="1"/>
      </rPr>
      <t xml:space="preserve"> DIC, and 2332 µmol*kg</t>
    </r>
    <r>
      <rPr>
        <vertAlign val="superscript"/>
        <sz val="12"/>
        <color theme="1"/>
        <rFont val="Times New Roman"/>
        <family val="1"/>
      </rPr>
      <t>-1</t>
    </r>
    <r>
      <rPr>
        <sz val="12"/>
        <color theme="1"/>
        <rFont val="Times New Roman"/>
        <family val="1"/>
      </rPr>
      <t xml:space="preserve"> TA) was used in accounting for fluxes due to advection/mixing in all biogeochemical model geometries.</t>
    </r>
  </si>
  <si>
    <t>NEP Q - Barnes (mmol DIC * m-2 * day-1)</t>
  </si>
  <si>
    <t>NEP Q - Real (mmol DIC * m-2 * day-1)</t>
  </si>
  <si>
    <t>High Error Bound</t>
  </si>
  <si>
    <t>Low Error Bound</t>
  </si>
  <si>
    <t>2sig Net Q</t>
  </si>
  <si>
    <t>P16 Repeat Hydrography Cruise Data 2014</t>
  </si>
  <si>
    <t>P16 Repeat Hydrography Cruise Data 2006</t>
  </si>
  <si>
    <t>1sig DIC</t>
  </si>
  <si>
    <t>2sig DIC</t>
  </si>
  <si>
    <t>1sig TA</t>
  </si>
  <si>
    <t>2sig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</si>
</sst>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m/d/yy\ h:mm;@"/>
    <numFmt numFmtId="165" formatCode="#0.0"/>
    <numFmt numFmtId="166" formatCode="#0.000000"/>
    <numFmt numFmtId="167" formatCode="#0.000"/>
    <numFmt numFmtId="168" formatCode="h:mm;@"/>
    <numFmt numFmtId="169" formatCode="#0.00"/>
    <numFmt numFmtId="170" formatCode="0.00000000000"/>
    <numFmt numFmtId="171" formatCode="0.0000"/>
    <numFmt numFmtId="172" formatCode="0.000"/>
    <numFmt numFmtId="173" formatCode="0.00000"/>
    <numFmt numFmtId="174" formatCode="0.0000E+00"/>
    <numFmt numFmtId="175" formatCode="0.000000"/>
    <numFmt numFmtId="176" formatCode="0.0000000"/>
    <numFmt numFmtId="177" formatCode="0.000000000"/>
    <numFmt numFmtId="178" formatCode="0.00000000"/>
    <numFmt numFmtId="179" formatCode="0.000E+00"/>
  </numFmts>
  <fonts count="19" x14ac:knownFonts="1">
    <font>
      <sz val="12"/>
      <color theme="1"/>
      <name val="Calibri"/>
      <family val="2"/>
      <scheme val="minor"/>
    </font>
    <font>
      <b/>
      <sz val="12"/>
      <color theme="1"/>
      <name val="Calibri"/>
      <family val="2"/>
      <scheme val="minor"/>
    </font>
    <font>
      <sz val="12"/>
      <color rgb="FF000000"/>
      <name val="Calibri"/>
      <family val="2"/>
      <scheme val="minor"/>
    </font>
    <font>
      <b/>
      <sz val="12"/>
      <color rgb="FF000000"/>
      <name val="Calibri"/>
      <family val="2"/>
      <scheme val="minor"/>
    </font>
    <font>
      <sz val="10"/>
      <color rgb="FF000000"/>
      <name val="Helvetica Neue"/>
      <family val="2"/>
    </font>
    <font>
      <u/>
      <sz val="12"/>
      <color theme="1"/>
      <name val="Calibri"/>
      <family val="2"/>
      <scheme val="minor"/>
    </font>
    <font>
      <sz val="12"/>
      <color theme="1"/>
      <name val="Calibri"/>
      <family val="2"/>
    </font>
    <font>
      <sz val="12"/>
      <color rgb="FF000000"/>
      <name val="Calibri"/>
      <family val="2"/>
    </font>
    <font>
      <b/>
      <sz val="12"/>
      <color rgb="FF000000"/>
      <name val="Calibri"/>
      <family val="2"/>
    </font>
    <font>
      <i/>
      <sz val="12"/>
      <color theme="1"/>
      <name val="Calibri"/>
      <family val="2"/>
      <scheme val="minor"/>
    </font>
    <font>
      <u/>
      <sz val="12"/>
      <color rgb="FF000000"/>
      <name val="Calibri"/>
      <family val="2"/>
      <scheme val="minor"/>
    </font>
    <font>
      <sz val="12"/>
      <color theme="1"/>
      <name val="Times New Roman"/>
      <family val="1"/>
    </font>
    <font>
      <b/>
      <sz val="12"/>
      <color theme="1"/>
      <name val="Times New Roman"/>
      <family val="1"/>
    </font>
    <font>
      <sz val="7"/>
      <color theme="1"/>
      <name val="Times New Roman"/>
      <family val="1"/>
    </font>
    <font>
      <vertAlign val="subscript"/>
      <sz val="12"/>
      <color theme="1"/>
      <name val="Times New Roman"/>
      <family val="1"/>
    </font>
    <font>
      <i/>
      <sz val="12"/>
      <color theme="1"/>
      <name val="Times New Roman"/>
      <family val="1"/>
    </font>
    <font>
      <vertAlign val="superscript"/>
      <sz val="12"/>
      <color theme="1"/>
      <name val="Times New Roman"/>
      <family val="1"/>
    </font>
    <font>
      <sz val="12"/>
      <color theme="1"/>
      <name val="Cambria Math"/>
      <family val="1"/>
    </font>
    <font>
      <b/>
      <vertAlign val="subscript"/>
      <sz val="12"/>
      <color theme="1"/>
      <name val="Times New Roman"/>
      <family val="1"/>
    </font>
  </fonts>
  <fills count="3">
    <fill>
      <patternFill patternType="none"/>
    </fill>
    <fill>
      <patternFill patternType="gray125"/>
    </fill>
    <fill>
      <patternFill patternType="solid">
        <fgColor rgb="FFFFFF00"/>
        <bgColor rgb="FF000000"/>
      </patternFill>
    </fill>
  </fills>
  <borders count="1">
    <border>
      <left/>
      <right/>
      <top/>
      <bottom/>
      <diagonal/>
    </border>
  </borders>
  <cellStyleXfs count="1">
    <xf numFmtId="0" fontId="0" fillId="0" borderId="0"/>
  </cellStyleXfs>
  <cellXfs count="64">
    <xf numFmtId="0" fontId="0" fillId="0" borderId="0" xfId="0"/>
    <xf numFmtId="0" fontId="1" fillId="0" borderId="0" xfId="0" applyFont="1"/>
    <xf numFmtId="0" fontId="2" fillId="0" borderId="0" xfId="0" applyFont="1"/>
    <xf numFmtId="17" fontId="0" fillId="0" borderId="0" xfId="0" applyNumberFormat="1"/>
    <xf numFmtId="0" fontId="3" fillId="0" borderId="0" xfId="0" applyFont="1"/>
    <xf numFmtId="0" fontId="0" fillId="0" borderId="0" xfId="0" applyFont="1"/>
    <xf numFmtId="0" fontId="4" fillId="0" borderId="0" xfId="0" applyFont="1"/>
    <xf numFmtId="0" fontId="1" fillId="0" borderId="0" xfId="0" applyNumberFormat="1" applyFont="1"/>
    <xf numFmtId="0" fontId="1" fillId="0" borderId="0" xfId="0" applyFont="1" applyAlignment="1">
      <alignment horizontal="left"/>
    </xf>
    <xf numFmtId="20" fontId="0" fillId="0" borderId="0" xfId="0" applyNumberFormat="1"/>
    <xf numFmtId="0" fontId="5" fillId="0" borderId="0" xfId="0" applyFont="1"/>
    <xf numFmtId="164" fontId="0" fillId="0" borderId="0" xfId="0" applyNumberFormat="1"/>
    <xf numFmtId="165" fontId="0" fillId="0" borderId="0" xfId="0" applyNumberFormat="1" applyAlignment="1" applyProtection="1">
      <alignment horizontal="center"/>
      <protection locked="0"/>
    </xf>
    <xf numFmtId="166" fontId="0" fillId="0" borderId="0" xfId="0" applyNumberFormat="1" applyAlignment="1" applyProtection="1">
      <alignment horizontal="center"/>
      <protection locked="0"/>
    </xf>
    <xf numFmtId="166" fontId="2" fillId="0" borderId="0" xfId="0" applyNumberFormat="1" applyFont="1" applyAlignment="1" applyProtection="1">
      <alignment horizontal="center"/>
      <protection locked="0"/>
    </xf>
    <xf numFmtId="167" fontId="0" fillId="0" borderId="0" xfId="0" applyNumberFormat="1" applyAlignment="1" applyProtection="1">
      <alignment horizontal="center"/>
      <protection locked="0"/>
    </xf>
    <xf numFmtId="167" fontId="2" fillId="0" borderId="0" xfId="0" applyNumberFormat="1" applyFont="1" applyAlignment="1" applyProtection="1">
      <alignment horizontal="center"/>
      <protection locked="0"/>
    </xf>
    <xf numFmtId="2" fontId="0" fillId="0" borderId="0" xfId="0" applyNumberFormat="1"/>
    <xf numFmtId="2" fontId="2" fillId="0" borderId="0" xfId="0" applyNumberFormat="1" applyFont="1"/>
    <xf numFmtId="168" fontId="2" fillId="0" borderId="0" xfId="0" applyNumberFormat="1" applyFont="1"/>
    <xf numFmtId="168" fontId="0" fillId="0" borderId="0" xfId="0" applyNumberFormat="1"/>
    <xf numFmtId="15" fontId="5" fillId="0" borderId="0" xfId="0" applyNumberFormat="1" applyFont="1"/>
    <xf numFmtId="11" fontId="0" fillId="0" borderId="0" xfId="0" applyNumberFormat="1"/>
    <xf numFmtId="0" fontId="6" fillId="0" borderId="0" xfId="0" applyFont="1" applyFill="1"/>
    <xf numFmtId="0" fontId="7" fillId="0" borderId="0" xfId="0" applyFont="1" applyFill="1"/>
    <xf numFmtId="168" fontId="6" fillId="0" borderId="0" xfId="0" applyNumberFormat="1" applyFont="1" applyFill="1"/>
    <xf numFmtId="1" fontId="6" fillId="0" borderId="0" xfId="0" applyNumberFormat="1" applyFont="1" applyFill="1"/>
    <xf numFmtId="11" fontId="6" fillId="0" borderId="0" xfId="0" applyNumberFormat="1" applyFont="1" applyFill="1"/>
    <xf numFmtId="2" fontId="6" fillId="0" borderId="0" xfId="0" applyNumberFormat="1" applyFont="1" applyFill="1"/>
    <xf numFmtId="164" fontId="6" fillId="0" borderId="0" xfId="0" applyNumberFormat="1" applyFont="1" applyFill="1"/>
    <xf numFmtId="169" fontId="2" fillId="0" borderId="0" xfId="0" applyNumberFormat="1" applyFont="1" applyAlignment="1" applyProtection="1">
      <alignment horizontal="center"/>
      <protection locked="0"/>
    </xf>
    <xf numFmtId="169" fontId="0" fillId="0" borderId="0" xfId="0" applyNumberFormat="1" applyAlignment="1" applyProtection="1">
      <alignment horizontal="center"/>
      <protection locked="0"/>
    </xf>
    <xf numFmtId="17" fontId="1" fillId="0" borderId="0" xfId="0" applyNumberFormat="1" applyFont="1"/>
    <xf numFmtId="0" fontId="8" fillId="2" borderId="0" xfId="0" applyFont="1" applyFill="1" applyBorder="1"/>
    <xf numFmtId="0" fontId="6" fillId="2" borderId="0" xfId="0" applyFont="1" applyFill="1" applyBorder="1"/>
    <xf numFmtId="0" fontId="6" fillId="0" borderId="0" xfId="0" applyFont="1" applyFill="1" applyBorder="1"/>
    <xf numFmtId="0" fontId="8" fillId="0" borderId="0" xfId="0" applyFont="1" applyFill="1" applyBorder="1"/>
    <xf numFmtId="168" fontId="6" fillId="0" borderId="0" xfId="0" applyNumberFormat="1" applyFont="1" applyFill="1" applyBorder="1"/>
    <xf numFmtId="2" fontId="6" fillId="0" borderId="0" xfId="0" applyNumberFormat="1" applyFont="1" applyFill="1" applyBorder="1"/>
    <xf numFmtId="17" fontId="5" fillId="0" borderId="0" xfId="0" applyNumberFormat="1" applyFont="1"/>
    <xf numFmtId="170" fontId="0" fillId="0" borderId="0" xfId="0" applyNumberFormat="1"/>
    <xf numFmtId="171" fontId="0" fillId="0" borderId="0" xfId="0" applyNumberFormat="1"/>
    <xf numFmtId="172" fontId="0" fillId="0" borderId="0" xfId="0" applyNumberFormat="1"/>
    <xf numFmtId="173" fontId="0" fillId="0" borderId="0" xfId="0" applyNumberFormat="1"/>
    <xf numFmtId="174" fontId="6" fillId="0" borderId="0" xfId="0" applyNumberFormat="1" applyFont="1" applyFill="1"/>
    <xf numFmtId="175" fontId="0" fillId="0" borderId="0" xfId="0" applyNumberFormat="1"/>
    <xf numFmtId="176" fontId="0" fillId="0" borderId="0" xfId="0" applyNumberFormat="1"/>
    <xf numFmtId="0" fontId="0" fillId="0" borderId="0" xfId="0" applyNumberFormat="1"/>
    <xf numFmtId="2" fontId="1" fillId="0" borderId="0" xfId="0" applyNumberFormat="1" applyFont="1"/>
    <xf numFmtId="2" fontId="6" fillId="0" borderId="0" xfId="0" applyNumberFormat="1" applyFont="1"/>
    <xf numFmtId="168" fontId="10" fillId="0" borderId="0" xfId="0" applyNumberFormat="1" applyFont="1"/>
    <xf numFmtId="1" fontId="0" fillId="0" borderId="0" xfId="0" applyNumberFormat="1"/>
    <xf numFmtId="0" fontId="6" fillId="0" borderId="0" xfId="0" applyNumberFormat="1" applyFont="1" applyFill="1"/>
    <xf numFmtId="177" fontId="0" fillId="0" borderId="0" xfId="0" applyNumberFormat="1"/>
    <xf numFmtId="168" fontId="6" fillId="0" borderId="0" xfId="0" applyNumberFormat="1" applyFont="1"/>
    <xf numFmtId="179" fontId="0" fillId="0" borderId="0" xfId="0" applyNumberFormat="1"/>
    <xf numFmtId="178" fontId="2" fillId="0" borderId="0" xfId="0" applyNumberFormat="1" applyFont="1"/>
    <xf numFmtId="0" fontId="6" fillId="0" borderId="0" xfId="0" applyFont="1"/>
    <xf numFmtId="1" fontId="6" fillId="0" borderId="0" xfId="0" applyNumberFormat="1" applyFont="1"/>
    <xf numFmtId="0" fontId="12" fillId="0" borderId="0" xfId="0" applyFont="1" applyAlignment="1">
      <alignment vertical="center"/>
    </xf>
    <xf numFmtId="0" fontId="11" fillId="0" borderId="0" xfId="0" applyFont="1" applyAlignment="1">
      <alignment vertical="center"/>
    </xf>
    <xf numFmtId="0" fontId="11" fillId="0" borderId="0" xfId="0" applyFont="1" applyAlignment="1">
      <alignment horizontal="left" vertical="center" indent="2"/>
    </xf>
    <xf numFmtId="0" fontId="15" fillId="0" borderId="0" xfId="0" applyFont="1" applyAlignment="1">
      <alignment vertical="center"/>
    </xf>
    <xf numFmtId="0" fontId="11" fillId="0" borderId="0" xfId="0" applyFont="1" applyAlignment="1">
      <alignment horizontal="left" vertical="center" indent="4"/>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25400" cap="rnd">
              <a:noFill/>
              <a:round/>
            </a:ln>
            <a:effectLst/>
          </c:spPr>
          <c:marker>
            <c:symbol val="circle"/>
            <c:size val="8"/>
            <c:spPr>
              <a:solidFill>
                <a:schemeClr val="accent6">
                  <a:lumMod val="75000"/>
                </a:schemeClr>
              </a:solidFill>
              <a:ln w="9525">
                <a:noFill/>
              </a:ln>
              <a:effectLst/>
            </c:spPr>
          </c:marker>
          <c:errBars>
            <c:errDir val="y"/>
            <c:errBarType val="both"/>
            <c:errValType val="fixedVal"/>
            <c:noEndCap val="0"/>
            <c:val val="4"/>
            <c:spPr>
              <a:noFill/>
              <a:ln w="9525" cap="flat" cmpd="sng" algn="ctr">
                <a:solidFill>
                  <a:schemeClr val="tx1">
                    <a:lumMod val="65000"/>
                    <a:lumOff val="35000"/>
                  </a:schemeClr>
                </a:solidFill>
                <a:round/>
              </a:ln>
              <a:effectLst/>
            </c:spPr>
          </c:errBars>
          <c:xVal>
            <c:numRef>
              <c:f>'All Experimental Diel Data'!$A$3:$A$15</c:f>
              <c:numCache>
                <c:formatCode>h:mm;@</c:formatCode>
                <c:ptCount val="13"/>
                <c:pt idx="0">
                  <c:v>0.45833333333333331</c:v>
                </c:pt>
                <c:pt idx="1">
                  <c:v>0.54166666666666663</c:v>
                </c:pt>
                <c:pt idx="2">
                  <c:v>0.625</c:v>
                </c:pt>
                <c:pt idx="3">
                  <c:v>0.70833333333333304</c:v>
                </c:pt>
                <c:pt idx="4">
                  <c:v>0.79166666666666596</c:v>
                </c:pt>
                <c:pt idx="5">
                  <c:v>0.875</c:v>
                </c:pt>
                <c:pt idx="6">
                  <c:v>0.95833333333333304</c:v>
                </c:pt>
                <c:pt idx="7">
                  <c:v>1.0416666666666701</c:v>
                </c:pt>
                <c:pt idx="8">
                  <c:v>1.125</c:v>
                </c:pt>
                <c:pt idx="9">
                  <c:v>1.2083333333333299</c:v>
                </c:pt>
                <c:pt idx="10">
                  <c:v>1.2916666666666701</c:v>
                </c:pt>
                <c:pt idx="11">
                  <c:v>1.375</c:v>
                </c:pt>
                <c:pt idx="12">
                  <c:v>1.4583333333333299</c:v>
                </c:pt>
              </c:numCache>
            </c:numRef>
          </c:xVal>
          <c:yVal>
            <c:numRef>
              <c:f>'All Experimental Diel Data'!$P$3:$P$15</c:f>
              <c:numCache>
                <c:formatCode>0.00</c:formatCode>
                <c:ptCount val="13"/>
                <c:pt idx="0">
                  <c:v>232.43627009210954</c:v>
                </c:pt>
                <c:pt idx="1">
                  <c:v>248.5480096318143</c:v>
                </c:pt>
                <c:pt idx="2">
                  <c:v>257.08005925408077</c:v>
                </c:pt>
                <c:pt idx="3">
                  <c:v>263.18856918985716</c:v>
                </c:pt>
                <c:pt idx="4">
                  <c:v>225.82876394935624</c:v>
                </c:pt>
                <c:pt idx="5">
                  <c:v>199.61615450667941</c:v>
                </c:pt>
                <c:pt idx="6">
                  <c:v>168.30326800329985</c:v>
                </c:pt>
                <c:pt idx="7">
                  <c:v>163.53293379445529</c:v>
                </c:pt>
                <c:pt idx="8">
                  <c:v>162.12409799416696</c:v>
                </c:pt>
                <c:pt idx="9">
                  <c:v>160.58415551980559</c:v>
                </c:pt>
                <c:pt idx="10">
                  <c:v>156.13610311966195</c:v>
                </c:pt>
                <c:pt idx="11">
                  <c:v>185.47928029238122</c:v>
                </c:pt>
                <c:pt idx="12">
                  <c:v>215.79587061794498</c:v>
                </c:pt>
              </c:numCache>
            </c:numRef>
          </c:yVal>
          <c:smooth val="0"/>
          <c:extLst>
            <c:ext xmlns:c16="http://schemas.microsoft.com/office/drawing/2014/chart" uri="{C3380CC4-5D6E-409C-BE32-E72D297353CC}">
              <c16:uniqueId val="{00000000-BBCA-DB42-9896-FA656C29657D}"/>
            </c:ext>
          </c:extLst>
        </c:ser>
        <c:dLbls>
          <c:showLegendKey val="0"/>
          <c:showVal val="0"/>
          <c:showCatName val="0"/>
          <c:showSerName val="0"/>
          <c:showPercent val="0"/>
          <c:showBubbleSize val="0"/>
        </c:dLbls>
        <c:axId val="424093136"/>
        <c:axId val="424196800"/>
      </c:scatterChart>
      <c:scatterChart>
        <c:scatterStyle val="lineMarker"/>
        <c:varyColors val="0"/>
        <c:ser>
          <c:idx val="1"/>
          <c:order val="1"/>
          <c:tx>
            <c:v>DIC</c:v>
          </c:tx>
          <c:spPr>
            <a:ln w="25400" cap="rnd">
              <a:noFill/>
              <a:round/>
            </a:ln>
            <a:effectLst/>
          </c:spPr>
          <c:marker>
            <c:symbol val="circle"/>
            <c:size val="8"/>
            <c:spPr>
              <a:solidFill>
                <a:schemeClr val="accent2">
                  <a:lumMod val="75000"/>
                </a:schemeClr>
              </a:solidFill>
              <a:ln w="9525">
                <a:solidFill>
                  <a:schemeClr val="accent2"/>
                </a:solidFill>
              </a:ln>
              <a:effectLst/>
            </c:spPr>
          </c:marker>
          <c:errBars>
            <c:errDir val="y"/>
            <c:errBarType val="both"/>
            <c:errValType val="fixedVal"/>
            <c:noEndCap val="0"/>
            <c:val val="3.7"/>
            <c:spPr>
              <a:noFill/>
              <a:ln w="9525" cap="flat" cmpd="sng" algn="ctr">
                <a:solidFill>
                  <a:schemeClr val="tx1">
                    <a:lumMod val="65000"/>
                    <a:lumOff val="35000"/>
                  </a:schemeClr>
                </a:solidFill>
                <a:round/>
              </a:ln>
              <a:effectLst/>
            </c:spPr>
          </c:errBars>
          <c:xVal>
            <c:numRef>
              <c:f>'All Experimental Diel Data'!$A$3:$A$15</c:f>
              <c:numCache>
                <c:formatCode>h:mm;@</c:formatCode>
                <c:ptCount val="13"/>
                <c:pt idx="0">
                  <c:v>0.45833333333333331</c:v>
                </c:pt>
                <c:pt idx="1">
                  <c:v>0.54166666666666663</c:v>
                </c:pt>
                <c:pt idx="2">
                  <c:v>0.625</c:v>
                </c:pt>
                <c:pt idx="3">
                  <c:v>0.70833333333333304</c:v>
                </c:pt>
                <c:pt idx="4">
                  <c:v>0.79166666666666596</c:v>
                </c:pt>
                <c:pt idx="5">
                  <c:v>0.875</c:v>
                </c:pt>
                <c:pt idx="6">
                  <c:v>0.95833333333333304</c:v>
                </c:pt>
                <c:pt idx="7">
                  <c:v>1.0416666666666701</c:v>
                </c:pt>
                <c:pt idx="8">
                  <c:v>1.125</c:v>
                </c:pt>
                <c:pt idx="9">
                  <c:v>1.2083333333333299</c:v>
                </c:pt>
                <c:pt idx="10">
                  <c:v>1.2916666666666701</c:v>
                </c:pt>
                <c:pt idx="11">
                  <c:v>1.375</c:v>
                </c:pt>
                <c:pt idx="12">
                  <c:v>1.4583333333333299</c:v>
                </c:pt>
              </c:numCache>
            </c:numRef>
          </c:xVal>
          <c:yVal>
            <c:numRef>
              <c:f>'All Experimental Diel Data'!$H$3:$H$15</c:f>
              <c:numCache>
                <c:formatCode>0.00</c:formatCode>
                <c:ptCount val="13"/>
                <c:pt idx="0">
                  <c:v>1920.1413679093203</c:v>
                </c:pt>
                <c:pt idx="1">
                  <c:v>1889.6155647243258</c:v>
                </c:pt>
                <c:pt idx="2">
                  <c:v>1864.3610371662905</c:v>
                </c:pt>
                <c:pt idx="3">
                  <c:v>1850.0804671648878</c:v>
                </c:pt>
                <c:pt idx="4">
                  <c:v>1873.4346197845284</c:v>
                </c:pt>
                <c:pt idx="5">
                  <c:v>1898.852534697842</c:v>
                </c:pt>
                <c:pt idx="6">
                  <c:v>1961.1327501400733</c:v>
                </c:pt>
                <c:pt idx="7">
                  <c:v>1992.6781779844314</c:v>
                </c:pt>
                <c:pt idx="8">
                  <c:v>1972.8604660702304</c:v>
                </c:pt>
                <c:pt idx="9">
                  <c:v>1973.4953621595473</c:v>
                </c:pt>
                <c:pt idx="10">
                  <c:v>1990.6423571540947</c:v>
                </c:pt>
                <c:pt idx="11">
                  <c:v>1985.4468711329771</c:v>
                </c:pt>
                <c:pt idx="12">
                  <c:v>1944.8381548377661</c:v>
                </c:pt>
              </c:numCache>
            </c:numRef>
          </c:yVal>
          <c:smooth val="0"/>
          <c:extLst>
            <c:ext xmlns:c16="http://schemas.microsoft.com/office/drawing/2014/chart" uri="{C3380CC4-5D6E-409C-BE32-E72D297353CC}">
              <c16:uniqueId val="{00000001-BBCA-DB42-9896-FA656C29657D}"/>
            </c:ext>
          </c:extLst>
        </c:ser>
        <c:dLbls>
          <c:showLegendKey val="0"/>
          <c:showVal val="0"/>
          <c:showCatName val="0"/>
          <c:showSerName val="0"/>
          <c:showPercent val="0"/>
          <c:showBubbleSize val="0"/>
        </c:dLbls>
        <c:axId val="478748768"/>
        <c:axId val="423267824"/>
      </c:scatterChart>
      <c:valAx>
        <c:axId val="424093136"/>
        <c:scaling>
          <c:orientation val="minMax"/>
          <c:max val="1.5"/>
          <c:min val="0.33333333333300008"/>
        </c:scaling>
        <c:delete val="0"/>
        <c:axPos val="b"/>
        <c:numFmt formatCode="h:mm;@" sourceLinked="1"/>
        <c:majorTickMark val="cross"/>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424196800"/>
        <c:crosses val="autoZero"/>
        <c:crossBetween val="midCat"/>
        <c:majorUnit val="0.16666666666667002"/>
      </c:valAx>
      <c:valAx>
        <c:axId val="424196800"/>
        <c:scaling>
          <c:orientation val="minMax"/>
          <c:min val="140"/>
        </c:scaling>
        <c:delete val="0"/>
        <c:axPos val="l"/>
        <c:title>
          <c:tx>
            <c:rich>
              <a:bodyPr rot="-5400000" spcFirstLastPara="1" vertOverflow="ellipsis" vert="horz" wrap="square" anchor="ctr" anchorCtr="1"/>
              <a:lstStyle/>
              <a:p>
                <a:pPr>
                  <a:defRPr sz="1400" b="1" i="0" u="none" strike="noStrike" kern="1200" baseline="0">
                    <a:solidFill>
                      <a:schemeClr val="accent6">
                        <a:lumMod val="75000"/>
                      </a:schemeClr>
                    </a:solidFill>
                    <a:latin typeface="Times New Roman" panose="02020603050405020304" pitchFamily="18" charset="0"/>
                    <a:ea typeface="+mn-ea"/>
                    <a:cs typeface="Times New Roman" panose="02020603050405020304" pitchFamily="18" charset="0"/>
                  </a:defRPr>
                </a:pPr>
                <a:r>
                  <a:rPr lang="en-US">
                    <a:solidFill>
                      <a:schemeClr val="accent6">
                        <a:lumMod val="75000"/>
                      </a:schemeClr>
                    </a:solidFill>
                  </a:rPr>
                  <a:t>nO2</a:t>
                </a:r>
              </a:p>
              <a:p>
                <a:pPr>
                  <a:defRPr>
                    <a:solidFill>
                      <a:schemeClr val="accent6">
                        <a:lumMod val="75000"/>
                      </a:schemeClr>
                    </a:solidFill>
                  </a:defRPr>
                </a:pPr>
                <a:r>
                  <a:rPr lang="en-US">
                    <a:solidFill>
                      <a:schemeClr val="accent6">
                        <a:lumMod val="75000"/>
                      </a:schemeClr>
                    </a:solidFill>
                  </a:rPr>
                  <a:t>(µmol*kg-1)</a:t>
                </a:r>
              </a:p>
            </c:rich>
          </c:tx>
          <c:overlay val="0"/>
          <c:spPr>
            <a:noFill/>
            <a:ln>
              <a:noFill/>
            </a:ln>
            <a:effectLst/>
          </c:spPr>
          <c:txPr>
            <a:bodyPr rot="-5400000" spcFirstLastPara="1" vertOverflow="ellipsis" vert="horz" wrap="square" anchor="ctr" anchorCtr="1"/>
            <a:lstStyle/>
            <a:p>
              <a:pPr>
                <a:defRPr sz="1400" b="1" i="0" u="none" strike="noStrike" kern="1200" baseline="0">
                  <a:solidFill>
                    <a:schemeClr val="accent6">
                      <a:lumMod val="75000"/>
                    </a:schemeClr>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accent6">
                    <a:lumMod val="75000"/>
                  </a:schemeClr>
                </a:solidFill>
                <a:latin typeface="Times New Roman" panose="02020603050405020304" pitchFamily="18" charset="0"/>
                <a:ea typeface="+mn-ea"/>
                <a:cs typeface="Times New Roman" panose="02020603050405020304" pitchFamily="18" charset="0"/>
              </a:defRPr>
            </a:pPr>
            <a:endParaRPr lang="en-US"/>
          </a:p>
        </c:txPr>
        <c:crossAx val="424093136"/>
        <c:crosses val="autoZero"/>
        <c:crossBetween val="midCat"/>
      </c:valAx>
      <c:valAx>
        <c:axId val="423267824"/>
        <c:scaling>
          <c:orientation val="minMax"/>
          <c:max val="2100"/>
          <c:min val="1800"/>
        </c:scaling>
        <c:delete val="0"/>
        <c:axPos val="r"/>
        <c:title>
          <c:tx>
            <c:rich>
              <a:bodyPr rot="5400000" spcFirstLastPara="1" vertOverflow="ellipsis" wrap="square" anchor="ctr" anchorCtr="1"/>
              <a:lstStyle/>
              <a:p>
                <a:pPr>
                  <a:defRPr sz="1400" b="1" i="0" u="none" strike="noStrike" kern="1200" baseline="0">
                    <a:solidFill>
                      <a:schemeClr val="accent2">
                        <a:lumMod val="75000"/>
                      </a:schemeClr>
                    </a:solidFill>
                    <a:latin typeface="Times New Roman" panose="02020603050405020304" pitchFamily="18" charset="0"/>
                    <a:ea typeface="+mn-ea"/>
                    <a:cs typeface="Times New Roman" panose="02020603050405020304" pitchFamily="18" charset="0"/>
                  </a:defRPr>
                </a:pPr>
                <a:r>
                  <a:rPr lang="en-US">
                    <a:solidFill>
                      <a:schemeClr val="accent2">
                        <a:lumMod val="75000"/>
                      </a:schemeClr>
                    </a:solidFill>
                  </a:rPr>
                  <a:t>nDIC</a:t>
                </a:r>
              </a:p>
              <a:p>
                <a:pPr>
                  <a:defRPr>
                    <a:solidFill>
                      <a:schemeClr val="accent2">
                        <a:lumMod val="75000"/>
                      </a:schemeClr>
                    </a:solidFill>
                  </a:defRPr>
                </a:pPr>
                <a:r>
                  <a:rPr lang="en-US">
                    <a:solidFill>
                      <a:schemeClr val="accent2">
                        <a:lumMod val="75000"/>
                      </a:schemeClr>
                    </a:solidFill>
                  </a:rPr>
                  <a:t>(µmol*kg-1)</a:t>
                </a:r>
              </a:p>
            </c:rich>
          </c:tx>
          <c:overlay val="0"/>
          <c:spPr>
            <a:noFill/>
            <a:ln>
              <a:noFill/>
            </a:ln>
            <a:effectLst/>
          </c:spPr>
          <c:txPr>
            <a:bodyPr rot="5400000" spcFirstLastPara="1" vertOverflow="ellipsis" wrap="square" anchor="ctr" anchorCtr="1"/>
            <a:lstStyle/>
            <a:p>
              <a:pPr>
                <a:defRPr sz="1400" b="1" i="0" u="none" strike="noStrike" kern="1200" baseline="0">
                  <a:solidFill>
                    <a:schemeClr val="accent2">
                      <a:lumMod val="75000"/>
                    </a:schemeClr>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accent2">
                    <a:lumMod val="75000"/>
                  </a:schemeClr>
                </a:solidFill>
                <a:latin typeface="Times New Roman" panose="02020603050405020304" pitchFamily="18" charset="0"/>
                <a:ea typeface="+mn-ea"/>
                <a:cs typeface="Times New Roman" panose="02020603050405020304" pitchFamily="18" charset="0"/>
              </a:defRPr>
            </a:pPr>
            <a:endParaRPr lang="en-US"/>
          </a:p>
        </c:txPr>
        <c:crossAx val="478748768"/>
        <c:crosses val="max"/>
        <c:crossBetween val="midCat"/>
      </c:valAx>
      <c:valAx>
        <c:axId val="478748768"/>
        <c:scaling>
          <c:orientation val="minMax"/>
        </c:scaling>
        <c:delete val="1"/>
        <c:axPos val="b"/>
        <c:numFmt formatCode="h:mm;@" sourceLinked="1"/>
        <c:majorTickMark val="out"/>
        <c:minorTickMark val="none"/>
        <c:tickLblPos val="nextTo"/>
        <c:crossAx val="423267824"/>
        <c:crosses val="autoZero"/>
        <c:crossBetween val="midCat"/>
      </c:valAx>
      <c:spPr>
        <a:noFill/>
        <a:ln>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b="1">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Single Box Model</c:v>
          </c:tx>
          <c:spPr>
            <a:ln w="25400" cap="rnd">
              <a:noFill/>
              <a:round/>
            </a:ln>
            <a:effectLst/>
          </c:spPr>
          <c:marker>
            <c:symbol val="circle"/>
            <c:size val="7"/>
            <c:spPr>
              <a:solidFill>
                <a:schemeClr val="accent1"/>
              </a:solidFill>
              <a:ln w="9525">
                <a:noFill/>
              </a:ln>
              <a:effectLst/>
            </c:spPr>
          </c:marker>
          <c:trendline>
            <c:spPr>
              <a:ln w="38100" cap="rnd">
                <a:solidFill>
                  <a:schemeClr val="accent1"/>
                </a:solidFill>
                <a:prstDash val="solid"/>
                <a:headEnd type="triangle"/>
                <a:tailEnd type="triangle"/>
              </a:ln>
              <a:effectLst/>
            </c:spPr>
            <c:trendlineType val="linear"/>
            <c:dispRSqr val="1"/>
            <c:dispEq val="1"/>
            <c:trendlineLbl>
              <c:layout>
                <c:manualLayout>
                  <c:x val="0.17971943677980423"/>
                  <c:y val="-0.47866361532394658"/>
                </c:manualLayout>
              </c:layout>
              <c:numFmt formatCode="#,##0.00" sourceLinked="0"/>
              <c:spPr>
                <a:noFill/>
                <a:ln>
                  <a:noFill/>
                </a:ln>
                <a:effectLst/>
              </c:spPr>
              <c:txPr>
                <a:bodyPr rot="0" spcFirstLastPara="1" vertOverflow="ellipsis" vert="horz" wrap="square" anchor="ctr" anchorCtr="1"/>
                <a:lstStyle/>
                <a:p>
                  <a:pPr>
                    <a:defRPr sz="1200" b="1" i="0" u="none" strike="noStrike" kern="1200" baseline="0">
                      <a:solidFill>
                        <a:schemeClr val="accent1"/>
                      </a:solidFill>
                      <a:latin typeface="Times New Roman" panose="02020603050405020304" pitchFamily="18" charset="0"/>
                      <a:ea typeface="+mn-ea"/>
                      <a:cs typeface="Times New Roman" panose="02020603050405020304" pitchFamily="18" charset="0"/>
                    </a:defRPr>
                  </a:pPr>
                  <a:endParaRPr lang="en-US"/>
                </a:p>
              </c:txPr>
            </c:trendlineLbl>
          </c:trendline>
          <c:xVal>
            <c:numRef>
              <c:f>'Single Box Model Fluxes'!$AC$71:$AC$80</c:f>
              <c:numCache>
                <c:formatCode>General</c:formatCode>
                <c:ptCount val="10"/>
                <c:pt idx="0">
                  <c:v>6.5524172130311369</c:v>
                </c:pt>
                <c:pt idx="1">
                  <c:v>-5.0358063565928965</c:v>
                </c:pt>
                <c:pt idx="2">
                  <c:v>-8.2481753336855057</c:v>
                </c:pt>
                <c:pt idx="3">
                  <c:v>-6.5620539799354205</c:v>
                </c:pt>
                <c:pt idx="4">
                  <c:v>9.8138752184088531</c:v>
                </c:pt>
                <c:pt idx="5">
                  <c:v>24.016562901576318</c:v>
                </c:pt>
                <c:pt idx="6">
                  <c:v>28.82628595451715</c:v>
                </c:pt>
                <c:pt idx="7">
                  <c:v>31.410139560584085</c:v>
                </c:pt>
                <c:pt idx="8">
                  <c:v>35.789848493310579</c:v>
                </c:pt>
                <c:pt idx="9">
                  <c:v>21.940813613973567</c:v>
                </c:pt>
              </c:numCache>
            </c:numRef>
          </c:xVal>
          <c:yVal>
            <c:numRef>
              <c:f>'Single Box Model Fluxes'!$F$71:$F$80</c:f>
              <c:numCache>
                <c:formatCode>General</c:formatCode>
                <c:ptCount val="10"/>
                <c:pt idx="0">
                  <c:v>-0.68217998327395757</c:v>
                </c:pt>
                <c:pt idx="1">
                  <c:v>20.649890483229957</c:v>
                </c:pt>
                <c:pt idx="2">
                  <c:v>21.558616134137644</c:v>
                </c:pt>
                <c:pt idx="3">
                  <c:v>20.027773010417075</c:v>
                </c:pt>
                <c:pt idx="4">
                  <c:v>2.6823440848637716</c:v>
                </c:pt>
                <c:pt idx="5">
                  <c:v>-5.0545658225427772</c:v>
                </c:pt>
                <c:pt idx="6">
                  <c:v>-7.0800433216613028</c:v>
                </c:pt>
                <c:pt idx="7">
                  <c:v>-8.7185597452818921</c:v>
                </c:pt>
                <c:pt idx="8">
                  <c:v>-13.847446959022324</c:v>
                </c:pt>
                <c:pt idx="9">
                  <c:v>-3.6490901943079477</c:v>
                </c:pt>
              </c:numCache>
            </c:numRef>
          </c:yVal>
          <c:smooth val="0"/>
          <c:extLst>
            <c:ext xmlns:c16="http://schemas.microsoft.com/office/drawing/2014/chart" uri="{C3380CC4-5D6E-409C-BE32-E72D297353CC}">
              <c16:uniqueId val="{00000000-43FE-3F48-BEF5-4BDCED6F4D2B}"/>
            </c:ext>
          </c:extLst>
        </c:ser>
        <c:ser>
          <c:idx val="1"/>
          <c:order val="1"/>
          <c:tx>
            <c:v>Non-Dispersive Model</c:v>
          </c:tx>
          <c:spPr>
            <a:ln w="25400" cap="rnd">
              <a:noFill/>
              <a:round/>
            </a:ln>
            <a:effectLst/>
          </c:spPr>
          <c:marker>
            <c:symbol val="diamond"/>
            <c:size val="8"/>
            <c:spPr>
              <a:solidFill>
                <a:schemeClr val="accent2"/>
              </a:solidFill>
              <a:ln w="9525">
                <a:noFill/>
              </a:ln>
              <a:effectLst/>
            </c:spPr>
          </c:marker>
          <c:trendline>
            <c:spPr>
              <a:ln w="38100" cap="rnd">
                <a:solidFill>
                  <a:schemeClr val="accent2"/>
                </a:solidFill>
                <a:prstDash val="solid"/>
                <a:headEnd type="triangle"/>
                <a:tailEnd type="triangle"/>
              </a:ln>
              <a:effectLst/>
            </c:spPr>
            <c:trendlineType val="linear"/>
            <c:forward val="15"/>
            <c:backward val="15"/>
            <c:dispRSqr val="1"/>
            <c:dispEq val="1"/>
            <c:trendlineLbl>
              <c:layout>
                <c:manualLayout>
                  <c:x val="0.1168366347368972"/>
                  <c:y val="-0.53923354408285173"/>
                </c:manualLayout>
              </c:layout>
              <c:numFmt formatCode="#,##0.00" sourceLinked="0"/>
              <c:spPr>
                <a:noFill/>
                <a:ln>
                  <a:noFill/>
                </a:ln>
                <a:effectLst/>
              </c:spPr>
              <c:txPr>
                <a:bodyPr rot="0" spcFirstLastPara="1" vertOverflow="ellipsis" vert="horz" wrap="square" anchor="ctr" anchorCtr="1"/>
                <a:lstStyle/>
                <a:p>
                  <a:pPr>
                    <a:defRPr sz="1200" b="1" i="0" u="none" strike="noStrike" kern="1200" baseline="0">
                      <a:solidFill>
                        <a:schemeClr val="accent2"/>
                      </a:solidFill>
                      <a:latin typeface="Times New Roman" panose="02020603050405020304" pitchFamily="18" charset="0"/>
                      <a:ea typeface="+mn-ea"/>
                      <a:cs typeface="Times New Roman" panose="02020603050405020304" pitchFamily="18" charset="0"/>
                    </a:defRPr>
                  </a:pPr>
                  <a:endParaRPr lang="en-US"/>
                </a:p>
              </c:txPr>
            </c:trendlineLbl>
          </c:trendline>
          <c:xVal>
            <c:numRef>
              <c:f>'Non-Dispersive Model Output'!$O$39:$O$48</c:f>
              <c:numCache>
                <c:formatCode>General</c:formatCode>
                <c:ptCount val="10"/>
                <c:pt idx="0">
                  <c:v>12.779721135397084</c:v>
                </c:pt>
                <c:pt idx="1">
                  <c:v>6.9004755172129162</c:v>
                </c:pt>
                <c:pt idx="2">
                  <c:v>0.29394310002326934</c:v>
                </c:pt>
                <c:pt idx="3">
                  <c:v>-2.967464545606262</c:v>
                </c:pt>
                <c:pt idx="4">
                  <c:v>-5.5325719438024583</c:v>
                </c:pt>
                <c:pt idx="5">
                  <c:v>-0.81224537237519323</c:v>
                </c:pt>
                <c:pt idx="6">
                  <c:v>10.753618540116637</c:v>
                </c:pt>
                <c:pt idx="7">
                  <c:v>11.391292099778875</c:v>
                </c:pt>
                <c:pt idx="8">
                  <c:v>12.433643304181484</c:v>
                </c:pt>
                <c:pt idx="9">
                  <c:v>13.75494710105923</c:v>
                </c:pt>
              </c:numCache>
            </c:numRef>
          </c:xVal>
          <c:yVal>
            <c:numRef>
              <c:f>'Non-Dispersive Model Output'!$M$39:$M$48</c:f>
              <c:numCache>
                <c:formatCode>General</c:formatCode>
                <c:ptCount val="10"/>
                <c:pt idx="0">
                  <c:v>1.1128754439989488</c:v>
                </c:pt>
                <c:pt idx="1">
                  <c:v>0.21803659672802486</c:v>
                </c:pt>
                <c:pt idx="2">
                  <c:v>4.7554215249402505</c:v>
                </c:pt>
                <c:pt idx="3">
                  <c:v>6.7211639099373253</c:v>
                </c:pt>
                <c:pt idx="4">
                  <c:v>7.5102850142784643</c:v>
                </c:pt>
                <c:pt idx="5">
                  <c:v>3.4507394171288026</c:v>
                </c:pt>
                <c:pt idx="6">
                  <c:v>-3.2862547521687868</c:v>
                </c:pt>
                <c:pt idx="7">
                  <c:v>-2.8511205556827965</c:v>
                </c:pt>
                <c:pt idx="8">
                  <c:v>-3.0687660722837031</c:v>
                </c:pt>
                <c:pt idx="9">
                  <c:v>-4.3018205606463038</c:v>
                </c:pt>
              </c:numCache>
            </c:numRef>
          </c:yVal>
          <c:smooth val="0"/>
          <c:extLst>
            <c:ext xmlns:c16="http://schemas.microsoft.com/office/drawing/2014/chart" uri="{C3380CC4-5D6E-409C-BE32-E72D297353CC}">
              <c16:uniqueId val="{00000002-43FE-3F48-BEF5-4BDCED6F4D2B}"/>
            </c:ext>
          </c:extLst>
        </c:ser>
        <c:ser>
          <c:idx val="2"/>
          <c:order val="2"/>
          <c:tx>
            <c:v>Diffusive Mixing Model</c:v>
          </c:tx>
          <c:spPr>
            <a:ln w="25400" cap="rnd">
              <a:noFill/>
              <a:round/>
            </a:ln>
            <a:effectLst/>
          </c:spPr>
          <c:marker>
            <c:symbol val="square"/>
            <c:size val="8"/>
            <c:spPr>
              <a:solidFill>
                <a:schemeClr val="accent6"/>
              </a:solidFill>
              <a:ln w="9525">
                <a:noFill/>
              </a:ln>
              <a:effectLst/>
            </c:spPr>
          </c:marker>
          <c:trendline>
            <c:spPr>
              <a:ln w="38100" cap="rnd">
                <a:solidFill>
                  <a:schemeClr val="accent6"/>
                </a:solidFill>
                <a:prstDash val="solid"/>
                <a:headEnd type="triangle"/>
                <a:tailEnd type="triangle"/>
              </a:ln>
              <a:effectLst/>
            </c:spPr>
            <c:trendlineType val="linear"/>
            <c:dispRSqr val="1"/>
            <c:dispEq val="1"/>
            <c:trendlineLbl>
              <c:layout>
                <c:manualLayout>
                  <c:x val="0.22955201112681428"/>
                  <c:y val="-0.29562623637562546"/>
                </c:manualLayout>
              </c:layout>
              <c:numFmt formatCode="#,##0.00" sourceLinked="0"/>
              <c:spPr>
                <a:noFill/>
                <a:ln>
                  <a:noFill/>
                </a:ln>
                <a:effectLst/>
              </c:spPr>
              <c:txPr>
                <a:bodyPr rot="0" spcFirstLastPara="1" vertOverflow="ellipsis" vert="horz" wrap="square" anchor="ctr" anchorCtr="1"/>
                <a:lstStyle/>
                <a:p>
                  <a:pPr>
                    <a:defRPr sz="1200" b="1" i="0" u="none" strike="noStrike" kern="1200" baseline="0">
                      <a:solidFill>
                        <a:schemeClr val="accent6"/>
                      </a:solidFill>
                      <a:latin typeface="Times New Roman" panose="02020603050405020304" pitchFamily="18" charset="0"/>
                      <a:ea typeface="+mn-ea"/>
                      <a:cs typeface="Times New Roman" panose="02020603050405020304" pitchFamily="18" charset="0"/>
                    </a:defRPr>
                  </a:pPr>
                  <a:endParaRPr lang="en-US"/>
                </a:p>
              </c:txPr>
            </c:trendlineLbl>
          </c:trendline>
          <c:xVal>
            <c:numRef>
              <c:f>'MultiBox Eulerian Inverse Model'!$L$27:$L$36</c:f>
              <c:numCache>
                <c:formatCode>0.00</c:formatCode>
                <c:ptCount val="10"/>
                <c:pt idx="0">
                  <c:v>13.858831548604845</c:v>
                </c:pt>
                <c:pt idx="1">
                  <c:v>-7.9617523571278124</c:v>
                </c:pt>
                <c:pt idx="2">
                  <c:v>-7.9839055822738478</c:v>
                </c:pt>
                <c:pt idx="3">
                  <c:v>-7.9839836857742181</c:v>
                </c:pt>
                <c:pt idx="4">
                  <c:v>-7.8662132847782402</c:v>
                </c:pt>
                <c:pt idx="5">
                  <c:v>26.138558887284344</c:v>
                </c:pt>
                <c:pt idx="6">
                  <c:v>29.940119760479014</c:v>
                </c:pt>
                <c:pt idx="7">
                  <c:v>29.940119760479014</c:v>
                </c:pt>
                <c:pt idx="8">
                  <c:v>29.940119760479014</c:v>
                </c:pt>
                <c:pt idx="9">
                  <c:v>29.940119760479014</c:v>
                </c:pt>
              </c:numCache>
            </c:numRef>
          </c:xVal>
          <c:yVal>
            <c:numRef>
              <c:f>'MultiBox Eulerian Inverse Model'!$P$27:$P$36</c:f>
              <c:numCache>
                <c:formatCode>0.00</c:formatCode>
                <c:ptCount val="10"/>
                <c:pt idx="0">
                  <c:v>7.0193220694536897</c:v>
                </c:pt>
                <c:pt idx="1">
                  <c:v>21.45507435341862</c:v>
                </c:pt>
                <c:pt idx="2">
                  <c:v>21.45708295735291</c:v>
                </c:pt>
                <c:pt idx="3">
                  <c:v>21.457084980231595</c:v>
                </c:pt>
                <c:pt idx="4">
                  <c:v>21.440478825521712</c:v>
                </c:pt>
                <c:pt idx="5">
                  <c:v>-4.6891662840765846</c:v>
                </c:pt>
                <c:pt idx="6">
                  <c:v>-8.4830339321357204</c:v>
                </c:pt>
                <c:pt idx="7">
                  <c:v>-8.4830339321357204</c:v>
                </c:pt>
                <c:pt idx="8">
                  <c:v>-8.4830339321357204</c:v>
                </c:pt>
                <c:pt idx="9">
                  <c:v>-8.4830339321357204</c:v>
                </c:pt>
              </c:numCache>
            </c:numRef>
          </c:yVal>
          <c:smooth val="0"/>
          <c:extLst>
            <c:ext xmlns:c16="http://schemas.microsoft.com/office/drawing/2014/chart" uri="{C3380CC4-5D6E-409C-BE32-E72D297353CC}">
              <c16:uniqueId val="{00000003-43FE-3F48-BEF5-4BDCED6F4D2B}"/>
            </c:ext>
          </c:extLst>
        </c:ser>
        <c:dLbls>
          <c:showLegendKey val="0"/>
          <c:showVal val="0"/>
          <c:showCatName val="0"/>
          <c:showSerName val="0"/>
          <c:showPercent val="0"/>
          <c:showBubbleSize val="0"/>
        </c:dLbls>
        <c:axId val="38917840"/>
        <c:axId val="57712224"/>
      </c:scatterChart>
      <c:valAx>
        <c:axId val="38917840"/>
        <c:scaling>
          <c:orientation val="minMax"/>
        </c:scaling>
        <c:delete val="0"/>
        <c:axPos val="b"/>
        <c:title>
          <c:tx>
            <c:rich>
              <a:bodyPr rot="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a:t>NEP DIC</a:t>
                </a:r>
              </a:p>
              <a:p>
                <a:pPr>
                  <a:defRPr/>
                </a:pPr>
                <a:r>
                  <a:rPr lang="en-US"/>
                  <a:t>(mmol * m-2 * hr-1)</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low"/>
        <c:spPr>
          <a:noFill/>
          <a:ln w="9525" cap="flat" cmpd="sng" algn="ctr">
            <a:solidFill>
              <a:schemeClr val="tx1"/>
            </a:solidFill>
            <a:prstDash val="sysDot"/>
            <a:round/>
          </a:ln>
          <a:effectLst/>
        </c:spPr>
        <c:txPr>
          <a:bodyPr rot="-600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57712224"/>
        <c:crosses val="autoZero"/>
        <c:crossBetween val="midCat"/>
      </c:valAx>
      <c:valAx>
        <c:axId val="57712224"/>
        <c:scaling>
          <c:orientation val="minMax"/>
        </c:scaling>
        <c:delete val="0"/>
        <c:axPos val="l"/>
        <c:title>
          <c:tx>
            <c:rich>
              <a:bodyPr rot="-54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a:t>NEP O2</a:t>
                </a:r>
              </a:p>
              <a:p>
                <a:pPr>
                  <a:defRPr/>
                </a:pPr>
                <a:r>
                  <a:rPr lang="en-US"/>
                  <a:t>(mmol * m-2 * hr-1)</a:t>
                </a:r>
              </a:p>
            </c:rich>
          </c:tx>
          <c:overlay val="0"/>
          <c:spPr>
            <a:noFill/>
            <a:ln>
              <a:noFill/>
            </a:ln>
            <a:effectLst/>
          </c:spPr>
          <c:txPr>
            <a:bodyPr rot="-54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low"/>
        <c:spPr>
          <a:noFill/>
          <a:ln w="9525" cap="flat" cmpd="sng" algn="ctr">
            <a:solidFill>
              <a:schemeClr val="tx1"/>
            </a:solidFill>
            <a:prstDash val="sysDot"/>
            <a:round/>
          </a:ln>
          <a:effectLst/>
        </c:spPr>
        <c:txPr>
          <a:bodyPr rot="-600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38917840"/>
        <c:crosses val="autoZero"/>
        <c:crossBetween val="midCat"/>
      </c:valAx>
      <c:spPr>
        <a:noFill/>
        <a:ln>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b="1">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Single Box Model</c:v>
          </c:tx>
          <c:spPr>
            <a:ln w="25400" cap="rnd">
              <a:noFill/>
              <a:round/>
            </a:ln>
            <a:effectLst/>
          </c:spPr>
          <c:marker>
            <c:symbol val="circle"/>
            <c:size val="7"/>
            <c:spPr>
              <a:solidFill>
                <a:schemeClr val="accent1"/>
              </a:solidFill>
              <a:ln w="9525">
                <a:noFill/>
              </a:ln>
              <a:effectLst/>
            </c:spPr>
          </c:marker>
          <c:trendline>
            <c:spPr>
              <a:ln w="38100" cap="rnd">
                <a:solidFill>
                  <a:schemeClr val="accent1"/>
                </a:solidFill>
                <a:prstDash val="solid"/>
                <a:headEnd type="triangle"/>
                <a:tailEnd type="triangle"/>
              </a:ln>
              <a:effectLst/>
            </c:spPr>
            <c:trendlineType val="linear"/>
            <c:dispRSqr val="1"/>
            <c:dispEq val="1"/>
            <c:trendlineLbl>
              <c:layout>
                <c:manualLayout>
                  <c:x val="0.17971943677980423"/>
                  <c:y val="-0.47866361532394658"/>
                </c:manualLayout>
              </c:layout>
              <c:numFmt formatCode="#,##0.00" sourceLinked="0"/>
              <c:spPr>
                <a:noFill/>
                <a:ln>
                  <a:noFill/>
                </a:ln>
                <a:effectLst/>
              </c:spPr>
              <c:txPr>
                <a:bodyPr rot="0" spcFirstLastPara="1" vertOverflow="ellipsis" vert="horz" wrap="square" anchor="ctr" anchorCtr="1"/>
                <a:lstStyle/>
                <a:p>
                  <a:pPr>
                    <a:defRPr sz="1200" b="1" i="0" u="none" strike="noStrike" kern="1200" baseline="0">
                      <a:solidFill>
                        <a:schemeClr val="accent1"/>
                      </a:solidFill>
                      <a:latin typeface="Times New Roman" panose="02020603050405020304" pitchFamily="18" charset="0"/>
                      <a:ea typeface="+mn-ea"/>
                      <a:cs typeface="Times New Roman" panose="02020603050405020304" pitchFamily="18" charset="0"/>
                    </a:defRPr>
                  </a:pPr>
                  <a:endParaRPr lang="en-US"/>
                </a:p>
              </c:txPr>
            </c:trendlineLbl>
          </c:trendline>
          <c:xVal>
            <c:numRef>
              <c:f>'Single Box Model Fluxes'!$AC$118:$AC$128</c:f>
              <c:numCache>
                <c:formatCode>General</c:formatCode>
                <c:ptCount val="11"/>
                <c:pt idx="0">
                  <c:v>1.7537715268486618</c:v>
                </c:pt>
                <c:pt idx="1">
                  <c:v>-8.7007286957577534</c:v>
                </c:pt>
                <c:pt idx="2">
                  <c:v>-8.278987710427554</c:v>
                </c:pt>
                <c:pt idx="3">
                  <c:v>-10.428031964133844</c:v>
                </c:pt>
                <c:pt idx="4">
                  <c:v>-7.4483938773552776</c:v>
                </c:pt>
                <c:pt idx="5">
                  <c:v>-2.1524619683320729</c:v>
                </c:pt>
                <c:pt idx="6">
                  <c:v>9.5712854194131065</c:v>
                </c:pt>
                <c:pt idx="7">
                  <c:v>16.686906759525197</c:v>
                </c:pt>
                <c:pt idx="8">
                  <c:v>24.505056526263758</c:v>
                </c:pt>
                <c:pt idx="9">
                  <c:v>21.255509229493931</c:v>
                </c:pt>
                <c:pt idx="10">
                  <c:v>22.963653725851412</c:v>
                </c:pt>
              </c:numCache>
            </c:numRef>
          </c:xVal>
          <c:yVal>
            <c:numRef>
              <c:f>'Single Box Model Fluxes'!$F$118:$F$128</c:f>
              <c:numCache>
                <c:formatCode>General</c:formatCode>
                <c:ptCount val="11"/>
                <c:pt idx="0">
                  <c:v>1.8434138499944346</c:v>
                </c:pt>
                <c:pt idx="1">
                  <c:v>10.634028165000581</c:v>
                </c:pt>
                <c:pt idx="2">
                  <c:v>12.346161744964602</c:v>
                </c:pt>
                <c:pt idx="3">
                  <c:v>10.077768767977719</c:v>
                </c:pt>
                <c:pt idx="4">
                  <c:v>7.8308038566269813</c:v>
                </c:pt>
                <c:pt idx="5">
                  <c:v>2.1259848059479918</c:v>
                </c:pt>
                <c:pt idx="6">
                  <c:v>-1.4651730947785806</c:v>
                </c:pt>
                <c:pt idx="7">
                  <c:v>-6.7009162292922797</c:v>
                </c:pt>
                <c:pt idx="8">
                  <c:v>-8.6255430676179117</c:v>
                </c:pt>
                <c:pt idx="9">
                  <c:v>-7.6962814527937899</c:v>
                </c:pt>
                <c:pt idx="10">
                  <c:v>-8.1566849345015839</c:v>
                </c:pt>
              </c:numCache>
            </c:numRef>
          </c:yVal>
          <c:smooth val="0"/>
          <c:extLst>
            <c:ext xmlns:c16="http://schemas.microsoft.com/office/drawing/2014/chart" uri="{C3380CC4-5D6E-409C-BE32-E72D297353CC}">
              <c16:uniqueId val="{00000000-43FE-3F48-BEF5-4BDCED6F4D2B}"/>
            </c:ext>
          </c:extLst>
        </c:ser>
        <c:ser>
          <c:idx val="1"/>
          <c:order val="1"/>
          <c:tx>
            <c:v>Non-Dispersive Model</c:v>
          </c:tx>
          <c:spPr>
            <a:ln w="25400" cap="rnd">
              <a:noFill/>
              <a:round/>
            </a:ln>
            <a:effectLst/>
          </c:spPr>
          <c:marker>
            <c:symbol val="diamond"/>
            <c:size val="8"/>
            <c:spPr>
              <a:solidFill>
                <a:schemeClr val="accent2"/>
              </a:solidFill>
              <a:ln w="9525">
                <a:noFill/>
              </a:ln>
              <a:effectLst/>
            </c:spPr>
          </c:marker>
          <c:trendline>
            <c:spPr>
              <a:ln w="38100" cap="rnd">
                <a:solidFill>
                  <a:schemeClr val="accent2"/>
                </a:solidFill>
                <a:prstDash val="solid"/>
                <a:headEnd type="triangle"/>
                <a:tailEnd type="triangle"/>
              </a:ln>
              <a:effectLst/>
            </c:spPr>
            <c:trendlineType val="linear"/>
            <c:forward val="15"/>
            <c:backward val="15"/>
            <c:dispRSqr val="1"/>
            <c:dispEq val="1"/>
            <c:trendlineLbl>
              <c:layout>
                <c:manualLayout>
                  <c:x val="3.9142906282013896E-2"/>
                  <c:y val="-0.56071370389046193"/>
                </c:manualLayout>
              </c:layout>
              <c:numFmt formatCode="#,##0.00" sourceLinked="0"/>
              <c:spPr>
                <a:noFill/>
                <a:ln>
                  <a:noFill/>
                </a:ln>
                <a:effectLst/>
              </c:spPr>
              <c:txPr>
                <a:bodyPr rot="0" spcFirstLastPara="1" vertOverflow="ellipsis" vert="horz" wrap="square" anchor="ctr" anchorCtr="1"/>
                <a:lstStyle/>
                <a:p>
                  <a:pPr>
                    <a:defRPr sz="1200" b="1" i="0" u="none" strike="noStrike" kern="1200" baseline="0">
                      <a:solidFill>
                        <a:schemeClr val="accent2"/>
                      </a:solidFill>
                      <a:latin typeface="Times New Roman" panose="02020603050405020304" pitchFamily="18" charset="0"/>
                      <a:ea typeface="+mn-ea"/>
                      <a:cs typeface="Times New Roman" panose="02020603050405020304" pitchFamily="18" charset="0"/>
                    </a:defRPr>
                  </a:pPr>
                  <a:endParaRPr lang="en-US"/>
                </a:p>
              </c:txPr>
            </c:trendlineLbl>
          </c:trendline>
          <c:xVal>
            <c:numRef>
              <c:f>'Non-Dispersive Model Output'!$O$57:$O$67</c:f>
              <c:numCache>
                <c:formatCode>General</c:formatCode>
                <c:ptCount val="11"/>
                <c:pt idx="0">
                  <c:v>3.609004569641963</c:v>
                </c:pt>
                <c:pt idx="1">
                  <c:v>1.8439420585688646</c:v>
                </c:pt>
                <c:pt idx="2">
                  <c:v>-2.1207640344000249</c:v>
                </c:pt>
                <c:pt idx="3">
                  <c:v>-4.5847790996597233</c:v>
                </c:pt>
                <c:pt idx="4">
                  <c:v>-4.1198335017238437</c:v>
                </c:pt>
                <c:pt idx="5">
                  <c:v>-4.5130282485398059</c:v>
                </c:pt>
                <c:pt idx="6">
                  <c:v>-3.3110263306288275</c:v>
                </c:pt>
                <c:pt idx="7">
                  <c:v>4.8488430532822342</c:v>
                </c:pt>
                <c:pt idx="8">
                  <c:v>5.0416351335913028</c:v>
                </c:pt>
                <c:pt idx="9">
                  <c:v>6.7399401146131765</c:v>
                </c:pt>
                <c:pt idx="10">
                  <c:v>6.2444576607294984</c:v>
                </c:pt>
              </c:numCache>
            </c:numRef>
          </c:xVal>
          <c:yVal>
            <c:numRef>
              <c:f>'Non-Dispersive Model Output'!$M$57:$M$67</c:f>
              <c:numCache>
                <c:formatCode>General</c:formatCode>
                <c:ptCount val="11"/>
                <c:pt idx="0">
                  <c:v>-1.5936847244081687</c:v>
                </c:pt>
                <c:pt idx="1">
                  <c:v>-7.4577958785876974E-2</c:v>
                </c:pt>
                <c:pt idx="2">
                  <c:v>2.3226031132191189</c:v>
                </c:pt>
                <c:pt idx="3">
                  <c:v>3.1772138047073861</c:v>
                </c:pt>
                <c:pt idx="4">
                  <c:v>2.8889622024433179</c:v>
                </c:pt>
                <c:pt idx="5">
                  <c:v>2.3499098869828101</c:v>
                </c:pt>
                <c:pt idx="6">
                  <c:v>1.1125931243109541</c:v>
                </c:pt>
                <c:pt idx="7">
                  <c:v>-1.596430500422706</c:v>
                </c:pt>
                <c:pt idx="8">
                  <c:v>-1.8160961575852437</c:v>
                </c:pt>
                <c:pt idx="9">
                  <c:v>-2.3054195462735532</c:v>
                </c:pt>
                <c:pt idx="10">
                  <c:v>-2.3004224421779118</c:v>
                </c:pt>
              </c:numCache>
            </c:numRef>
          </c:yVal>
          <c:smooth val="0"/>
          <c:extLst>
            <c:ext xmlns:c16="http://schemas.microsoft.com/office/drawing/2014/chart" uri="{C3380CC4-5D6E-409C-BE32-E72D297353CC}">
              <c16:uniqueId val="{00000002-43FE-3F48-BEF5-4BDCED6F4D2B}"/>
            </c:ext>
          </c:extLst>
        </c:ser>
        <c:ser>
          <c:idx val="2"/>
          <c:order val="2"/>
          <c:tx>
            <c:v>Diffusive Mixing Model</c:v>
          </c:tx>
          <c:spPr>
            <a:ln w="25400" cap="rnd">
              <a:noFill/>
              <a:round/>
            </a:ln>
            <a:effectLst/>
          </c:spPr>
          <c:marker>
            <c:symbol val="square"/>
            <c:size val="8"/>
            <c:spPr>
              <a:solidFill>
                <a:schemeClr val="accent6"/>
              </a:solidFill>
              <a:ln w="9525">
                <a:noFill/>
              </a:ln>
              <a:effectLst/>
            </c:spPr>
          </c:marker>
          <c:trendline>
            <c:spPr>
              <a:ln w="38100" cap="rnd">
                <a:solidFill>
                  <a:schemeClr val="accent6"/>
                </a:solidFill>
                <a:prstDash val="solid"/>
                <a:headEnd type="triangle"/>
                <a:tailEnd type="triangle"/>
              </a:ln>
              <a:effectLst/>
            </c:spPr>
            <c:trendlineType val="linear"/>
            <c:dispRSqr val="1"/>
            <c:dispEq val="1"/>
            <c:trendlineLbl>
              <c:layout>
                <c:manualLayout>
                  <c:x val="0.24243070043594978"/>
                  <c:y val="-0.2512961741851234"/>
                </c:manualLayout>
              </c:layout>
              <c:numFmt formatCode="#,##0.00" sourceLinked="0"/>
              <c:spPr>
                <a:noFill/>
                <a:ln>
                  <a:noFill/>
                </a:ln>
                <a:effectLst/>
              </c:spPr>
              <c:txPr>
                <a:bodyPr rot="0" spcFirstLastPara="1" vertOverflow="ellipsis" vert="horz" wrap="square" anchor="ctr" anchorCtr="1"/>
                <a:lstStyle/>
                <a:p>
                  <a:pPr>
                    <a:defRPr sz="1200" b="1" i="0" u="none" strike="noStrike" kern="1200" baseline="0">
                      <a:solidFill>
                        <a:schemeClr val="accent6"/>
                      </a:solidFill>
                      <a:latin typeface="Times New Roman" panose="02020603050405020304" pitchFamily="18" charset="0"/>
                      <a:ea typeface="+mn-ea"/>
                      <a:cs typeface="Times New Roman" panose="02020603050405020304" pitchFamily="18" charset="0"/>
                    </a:defRPr>
                  </a:pPr>
                  <a:endParaRPr lang="en-US"/>
                </a:p>
              </c:txPr>
            </c:trendlineLbl>
          </c:trendline>
          <c:xVal>
            <c:numRef>
              <c:f>'MultiBox Eulerian Inverse Model'!$L$42:$L$52</c:f>
              <c:numCache>
                <c:formatCode>0.00</c:formatCode>
                <c:ptCount val="11"/>
                <c:pt idx="0">
                  <c:v>11.342739681090865</c:v>
                </c:pt>
                <c:pt idx="1">
                  <c:v>-7.9836206507519565</c:v>
                </c:pt>
                <c:pt idx="2">
                  <c:v>-7.984031829266514</c:v>
                </c:pt>
                <c:pt idx="3">
                  <c:v>-7.9840319251026646</c:v>
                </c:pt>
                <c:pt idx="4">
                  <c:v>-7.9840313093632522</c:v>
                </c:pt>
                <c:pt idx="5">
                  <c:v>-7.9835202633541087</c:v>
                </c:pt>
                <c:pt idx="6">
                  <c:v>11.862445341920715</c:v>
                </c:pt>
                <c:pt idx="7">
                  <c:v>16.966067864271441</c:v>
                </c:pt>
                <c:pt idx="8">
                  <c:v>16.966067864271441</c:v>
                </c:pt>
                <c:pt idx="9">
                  <c:v>16.966067864271441</c:v>
                </c:pt>
                <c:pt idx="10">
                  <c:v>16.966067864271441</c:v>
                </c:pt>
              </c:numCache>
            </c:numRef>
          </c:xVal>
          <c:yVal>
            <c:numRef>
              <c:f>'MultiBox Eulerian Inverse Model'!$P$42:$P$52</c:f>
              <c:numCache>
                <c:formatCode>0.00</c:formatCode>
                <c:ptCount val="11"/>
                <c:pt idx="0">
                  <c:v>0.99763310381025283</c:v>
                </c:pt>
                <c:pt idx="1">
                  <c:v>11.477045544602065</c:v>
                </c:pt>
                <c:pt idx="2">
                  <c:v>11.477045908182701</c:v>
                </c:pt>
                <c:pt idx="3">
                  <c:v>11.477045908183623</c:v>
                </c:pt>
                <c:pt idx="4">
                  <c:v>11.477045908169197</c:v>
                </c:pt>
                <c:pt idx="5">
                  <c:v>11.477045396731638</c:v>
                </c:pt>
                <c:pt idx="6">
                  <c:v>0.51159055532372755</c:v>
                </c:pt>
                <c:pt idx="7">
                  <c:v>-4.4910179640718519</c:v>
                </c:pt>
                <c:pt idx="8">
                  <c:v>-4.4910179640718519</c:v>
                </c:pt>
                <c:pt idx="9">
                  <c:v>-4.4910179640718519</c:v>
                </c:pt>
                <c:pt idx="10">
                  <c:v>-4.4910179640718519</c:v>
                </c:pt>
              </c:numCache>
            </c:numRef>
          </c:yVal>
          <c:smooth val="0"/>
          <c:extLst>
            <c:ext xmlns:c16="http://schemas.microsoft.com/office/drawing/2014/chart" uri="{C3380CC4-5D6E-409C-BE32-E72D297353CC}">
              <c16:uniqueId val="{00000003-43FE-3F48-BEF5-4BDCED6F4D2B}"/>
            </c:ext>
          </c:extLst>
        </c:ser>
        <c:dLbls>
          <c:showLegendKey val="0"/>
          <c:showVal val="0"/>
          <c:showCatName val="0"/>
          <c:showSerName val="0"/>
          <c:showPercent val="0"/>
          <c:showBubbleSize val="0"/>
        </c:dLbls>
        <c:axId val="38917840"/>
        <c:axId val="57712224"/>
      </c:scatterChart>
      <c:valAx>
        <c:axId val="38917840"/>
        <c:scaling>
          <c:orientation val="minMax"/>
        </c:scaling>
        <c:delete val="0"/>
        <c:axPos val="b"/>
        <c:title>
          <c:tx>
            <c:rich>
              <a:bodyPr rot="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a:t>NEP DIC</a:t>
                </a:r>
              </a:p>
              <a:p>
                <a:pPr>
                  <a:defRPr/>
                </a:pPr>
                <a:r>
                  <a:rPr lang="en-US"/>
                  <a:t>(mmol * m-2 * hr-1)</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low"/>
        <c:spPr>
          <a:noFill/>
          <a:ln w="9525" cap="flat" cmpd="sng" algn="ctr">
            <a:solidFill>
              <a:schemeClr val="tx1"/>
            </a:solidFill>
            <a:prstDash val="sysDot"/>
            <a:round/>
          </a:ln>
          <a:effectLst/>
        </c:spPr>
        <c:txPr>
          <a:bodyPr rot="-600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57712224"/>
        <c:crosses val="autoZero"/>
        <c:crossBetween val="midCat"/>
      </c:valAx>
      <c:valAx>
        <c:axId val="57712224"/>
        <c:scaling>
          <c:orientation val="minMax"/>
        </c:scaling>
        <c:delete val="0"/>
        <c:axPos val="l"/>
        <c:title>
          <c:tx>
            <c:rich>
              <a:bodyPr rot="-54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a:t>NEP O2</a:t>
                </a:r>
              </a:p>
              <a:p>
                <a:pPr>
                  <a:defRPr/>
                </a:pPr>
                <a:r>
                  <a:rPr lang="en-US"/>
                  <a:t>(mmol * m-2 * hr-1)</a:t>
                </a:r>
              </a:p>
            </c:rich>
          </c:tx>
          <c:overlay val="0"/>
          <c:spPr>
            <a:noFill/>
            <a:ln>
              <a:noFill/>
            </a:ln>
            <a:effectLst/>
          </c:spPr>
          <c:txPr>
            <a:bodyPr rot="-54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low"/>
        <c:spPr>
          <a:noFill/>
          <a:ln w="9525" cap="flat" cmpd="sng" algn="ctr">
            <a:solidFill>
              <a:schemeClr val="tx1"/>
            </a:solidFill>
            <a:prstDash val="sysDot"/>
            <a:round/>
          </a:ln>
          <a:effectLst/>
        </c:spPr>
        <c:txPr>
          <a:bodyPr rot="-600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38917840"/>
        <c:crosses val="autoZero"/>
        <c:crossBetween val="midCat"/>
      </c:valAx>
      <c:spPr>
        <a:noFill/>
        <a:ln>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b="1">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Single Box Model</c:v>
          </c:tx>
          <c:spPr>
            <a:ln w="25400" cap="rnd">
              <a:noFill/>
              <a:round/>
            </a:ln>
            <a:effectLst/>
          </c:spPr>
          <c:marker>
            <c:symbol val="circle"/>
            <c:size val="7"/>
            <c:spPr>
              <a:solidFill>
                <a:schemeClr val="accent1"/>
              </a:solidFill>
              <a:ln w="9525">
                <a:noFill/>
              </a:ln>
              <a:effectLst/>
            </c:spPr>
          </c:marker>
          <c:trendline>
            <c:spPr>
              <a:ln w="38100" cap="rnd">
                <a:solidFill>
                  <a:schemeClr val="accent1"/>
                </a:solidFill>
                <a:prstDash val="solid"/>
                <a:headEnd type="triangle"/>
                <a:tailEnd type="triangle"/>
              </a:ln>
              <a:effectLst/>
            </c:spPr>
            <c:trendlineType val="linear"/>
            <c:dispRSqr val="1"/>
            <c:dispEq val="1"/>
            <c:trendlineLbl>
              <c:layout>
                <c:manualLayout>
                  <c:x val="0.15200364911651001"/>
                  <c:y val="-0.54894069275823276"/>
                </c:manualLayout>
              </c:layout>
              <c:numFmt formatCode="#,##0.00" sourceLinked="0"/>
              <c:spPr>
                <a:noFill/>
                <a:ln>
                  <a:noFill/>
                </a:ln>
                <a:effectLst/>
              </c:spPr>
              <c:txPr>
                <a:bodyPr rot="0" spcFirstLastPara="1" vertOverflow="ellipsis" vert="horz" wrap="square" anchor="ctr" anchorCtr="1"/>
                <a:lstStyle/>
                <a:p>
                  <a:pPr>
                    <a:defRPr sz="1200" b="1" i="0" u="none" strike="noStrike" kern="1200" baseline="0">
                      <a:solidFill>
                        <a:schemeClr val="accent1"/>
                      </a:solidFill>
                      <a:latin typeface="Times New Roman" panose="02020603050405020304" pitchFamily="18" charset="0"/>
                      <a:ea typeface="+mn-ea"/>
                      <a:cs typeface="Times New Roman" panose="02020603050405020304" pitchFamily="18" charset="0"/>
                    </a:defRPr>
                  </a:pPr>
                  <a:endParaRPr lang="en-US"/>
                </a:p>
              </c:txPr>
            </c:trendlineLbl>
          </c:trendline>
          <c:xVal>
            <c:numRef>
              <c:f>'Single Box Model Fluxes'!$AC$164:$AC$174</c:f>
              <c:numCache>
                <c:formatCode>General</c:formatCode>
                <c:ptCount val="11"/>
                <c:pt idx="0">
                  <c:v>-18.975063872714237</c:v>
                </c:pt>
                <c:pt idx="1">
                  <c:v>-32.993925572193518</c:v>
                </c:pt>
                <c:pt idx="2">
                  <c:v>-8.2979025988505892</c:v>
                </c:pt>
                <c:pt idx="3">
                  <c:v>23.049959933738478</c:v>
                </c:pt>
                <c:pt idx="4">
                  <c:v>24.450417095820207</c:v>
                </c:pt>
                <c:pt idx="5">
                  <c:v>17.020864822002725</c:v>
                </c:pt>
                <c:pt idx="6">
                  <c:v>14.360670010554594</c:v>
                </c:pt>
                <c:pt idx="7">
                  <c:v>15.083294856739878</c:v>
                </c:pt>
                <c:pt idx="8">
                  <c:v>-3.7788961998263413</c:v>
                </c:pt>
                <c:pt idx="9">
                  <c:v>-9.6994783703709935</c:v>
                </c:pt>
                <c:pt idx="10">
                  <c:v>-34.501935736581672</c:v>
                </c:pt>
              </c:numCache>
            </c:numRef>
          </c:xVal>
          <c:yVal>
            <c:numRef>
              <c:f>'Single Box Model Fluxes'!$F$164:$F$174</c:f>
              <c:numCache>
                <c:formatCode>General</c:formatCode>
                <c:ptCount val="11"/>
                <c:pt idx="0">
                  <c:v>27.994911272292384</c:v>
                </c:pt>
                <c:pt idx="1">
                  <c:v>34.01347071497112</c:v>
                </c:pt>
                <c:pt idx="2">
                  <c:v>16.733236414375057</c:v>
                </c:pt>
                <c:pt idx="3">
                  <c:v>-5.4602952171278654</c:v>
                </c:pt>
                <c:pt idx="4">
                  <c:v>-17.641937016086139</c:v>
                </c:pt>
                <c:pt idx="5">
                  <c:v>-13.498574776077993</c:v>
                </c:pt>
                <c:pt idx="6">
                  <c:v>-15.360481582296879</c:v>
                </c:pt>
                <c:pt idx="7">
                  <c:v>-14.114920050578956</c:v>
                </c:pt>
                <c:pt idx="8">
                  <c:v>-8.3601183127267884</c:v>
                </c:pt>
                <c:pt idx="9">
                  <c:v>13.494454089443277</c:v>
                </c:pt>
                <c:pt idx="10">
                  <c:v>27.348810637979771</c:v>
                </c:pt>
              </c:numCache>
            </c:numRef>
          </c:yVal>
          <c:smooth val="0"/>
          <c:extLst>
            <c:ext xmlns:c16="http://schemas.microsoft.com/office/drawing/2014/chart" uri="{C3380CC4-5D6E-409C-BE32-E72D297353CC}">
              <c16:uniqueId val="{00000000-43FE-3F48-BEF5-4BDCED6F4D2B}"/>
            </c:ext>
          </c:extLst>
        </c:ser>
        <c:ser>
          <c:idx val="1"/>
          <c:order val="1"/>
          <c:tx>
            <c:v>Non-Dispersive Model</c:v>
          </c:tx>
          <c:spPr>
            <a:ln w="25400" cap="rnd">
              <a:noFill/>
              <a:round/>
            </a:ln>
            <a:effectLst/>
          </c:spPr>
          <c:marker>
            <c:symbol val="diamond"/>
            <c:size val="8"/>
            <c:spPr>
              <a:solidFill>
                <a:schemeClr val="accent2"/>
              </a:solidFill>
              <a:ln w="9525">
                <a:noFill/>
              </a:ln>
              <a:effectLst/>
            </c:spPr>
          </c:marker>
          <c:trendline>
            <c:spPr>
              <a:ln w="38100" cap="rnd">
                <a:solidFill>
                  <a:schemeClr val="accent2"/>
                </a:solidFill>
                <a:prstDash val="solid"/>
                <a:headEnd type="triangle"/>
                <a:tailEnd type="triangle"/>
              </a:ln>
              <a:effectLst/>
            </c:spPr>
            <c:trendlineType val="linear"/>
            <c:forward val="15"/>
            <c:backward val="15"/>
            <c:dispRSqr val="1"/>
            <c:dispEq val="1"/>
            <c:trendlineLbl>
              <c:layout>
                <c:manualLayout>
                  <c:x val="7.5368912219305917E-2"/>
                  <c:y val="-0.49768770283024966"/>
                </c:manualLayout>
              </c:layout>
              <c:numFmt formatCode="#,##0.00" sourceLinked="0"/>
              <c:spPr>
                <a:noFill/>
                <a:ln>
                  <a:noFill/>
                </a:ln>
                <a:effectLst/>
              </c:spPr>
              <c:txPr>
                <a:bodyPr rot="0" spcFirstLastPara="1" vertOverflow="ellipsis" vert="horz" wrap="square" anchor="ctr" anchorCtr="1"/>
                <a:lstStyle/>
                <a:p>
                  <a:pPr>
                    <a:defRPr sz="1200" b="1" i="0" u="none" strike="noStrike" kern="1200" baseline="0">
                      <a:solidFill>
                        <a:schemeClr val="accent2"/>
                      </a:solidFill>
                      <a:latin typeface="Times New Roman" panose="02020603050405020304" pitchFamily="18" charset="0"/>
                      <a:ea typeface="+mn-ea"/>
                      <a:cs typeface="Times New Roman" panose="02020603050405020304" pitchFamily="18" charset="0"/>
                    </a:defRPr>
                  </a:pPr>
                  <a:endParaRPr lang="en-US"/>
                </a:p>
              </c:txPr>
            </c:trendlineLbl>
          </c:trendline>
          <c:xVal>
            <c:numRef>
              <c:f>'Non-Dispersive Model Output'!$O$74:$O$84</c:f>
              <c:numCache>
                <c:formatCode>General</c:formatCode>
                <c:ptCount val="11"/>
                <c:pt idx="0">
                  <c:v>-10.084247481642644</c:v>
                </c:pt>
                <c:pt idx="1">
                  <c:v>-13.151496853865048</c:v>
                </c:pt>
                <c:pt idx="2">
                  <c:v>-18.532857877721952</c:v>
                </c:pt>
                <c:pt idx="3">
                  <c:v>-14.408366361332789</c:v>
                </c:pt>
                <c:pt idx="4">
                  <c:v>-3.1649907241383755</c:v>
                </c:pt>
                <c:pt idx="5">
                  <c:v>4.4192993937616976</c:v>
                </c:pt>
                <c:pt idx="6">
                  <c:v>5.0419021701921123</c:v>
                </c:pt>
                <c:pt idx="7">
                  <c:v>6.8480836250082877</c:v>
                </c:pt>
                <c:pt idx="8">
                  <c:v>7.4885343613618209</c:v>
                </c:pt>
                <c:pt idx="9">
                  <c:v>3.8266512098486993</c:v>
                </c:pt>
                <c:pt idx="10">
                  <c:v>-2.9378574950242853</c:v>
                </c:pt>
              </c:numCache>
            </c:numRef>
          </c:xVal>
          <c:yVal>
            <c:numRef>
              <c:f>'Non-Dispersive Model Output'!$M$74:$M$84</c:f>
              <c:numCache>
                <c:formatCode>General</c:formatCode>
                <c:ptCount val="11"/>
                <c:pt idx="0">
                  <c:v>5.865869800652491</c:v>
                </c:pt>
                <c:pt idx="1">
                  <c:v>7.4233405131093262</c:v>
                </c:pt>
                <c:pt idx="2">
                  <c:v>8.6988204812198582</c:v>
                </c:pt>
                <c:pt idx="3">
                  <c:v>5.0342652781718824</c:v>
                </c:pt>
                <c:pt idx="4">
                  <c:v>-0.46038852510694667</c:v>
                </c:pt>
                <c:pt idx="5">
                  <c:v>-4.6858763937681722</c:v>
                </c:pt>
                <c:pt idx="6">
                  <c:v>-5.1338097853937974</c:v>
                </c:pt>
                <c:pt idx="7">
                  <c:v>-5.7028009515906719</c:v>
                </c:pt>
                <c:pt idx="8">
                  <c:v>-5.8672914230167379</c:v>
                </c:pt>
                <c:pt idx="9">
                  <c:v>-4.1555730776296649</c:v>
                </c:pt>
                <c:pt idx="10">
                  <c:v>1.4827201033449537</c:v>
                </c:pt>
              </c:numCache>
            </c:numRef>
          </c:yVal>
          <c:smooth val="0"/>
          <c:extLst>
            <c:ext xmlns:c16="http://schemas.microsoft.com/office/drawing/2014/chart" uri="{C3380CC4-5D6E-409C-BE32-E72D297353CC}">
              <c16:uniqueId val="{00000002-43FE-3F48-BEF5-4BDCED6F4D2B}"/>
            </c:ext>
          </c:extLst>
        </c:ser>
        <c:ser>
          <c:idx val="2"/>
          <c:order val="2"/>
          <c:tx>
            <c:v>Diffusive Mixing Model</c:v>
          </c:tx>
          <c:spPr>
            <a:ln w="25400" cap="rnd">
              <a:noFill/>
              <a:round/>
            </a:ln>
            <a:effectLst/>
          </c:spPr>
          <c:marker>
            <c:symbol val="square"/>
            <c:size val="8"/>
            <c:spPr>
              <a:solidFill>
                <a:schemeClr val="accent6"/>
              </a:solidFill>
              <a:ln w="9525">
                <a:noFill/>
              </a:ln>
              <a:effectLst/>
            </c:spPr>
          </c:marker>
          <c:trendline>
            <c:spPr>
              <a:ln w="38100" cap="rnd">
                <a:solidFill>
                  <a:schemeClr val="accent6"/>
                </a:solidFill>
                <a:prstDash val="solid"/>
                <a:headEnd type="triangle"/>
                <a:tailEnd type="triangle"/>
              </a:ln>
              <a:effectLst/>
            </c:spPr>
            <c:trendlineType val="linear"/>
            <c:dispRSqr val="1"/>
            <c:dispEq val="1"/>
            <c:trendlineLbl>
              <c:layout>
                <c:manualLayout>
                  <c:x val="0.24720790243099955"/>
                  <c:y val="-0.40844937486262495"/>
                </c:manualLayout>
              </c:layout>
              <c:numFmt formatCode="#,##0.00" sourceLinked="0"/>
              <c:spPr>
                <a:noFill/>
                <a:ln>
                  <a:noFill/>
                </a:ln>
                <a:effectLst/>
              </c:spPr>
              <c:txPr>
                <a:bodyPr rot="0" spcFirstLastPara="1" vertOverflow="ellipsis" vert="horz" wrap="square" anchor="ctr" anchorCtr="1"/>
                <a:lstStyle/>
                <a:p>
                  <a:pPr>
                    <a:defRPr sz="1200" b="1" i="0" u="none" strike="noStrike" kern="1200" baseline="0">
                      <a:solidFill>
                        <a:schemeClr val="accent6"/>
                      </a:solidFill>
                      <a:latin typeface="Times New Roman" panose="02020603050405020304" pitchFamily="18" charset="0"/>
                      <a:ea typeface="+mn-ea"/>
                      <a:cs typeface="Times New Roman" panose="02020603050405020304" pitchFamily="18" charset="0"/>
                    </a:defRPr>
                  </a:pPr>
                  <a:endParaRPr lang="en-US"/>
                </a:p>
              </c:txPr>
            </c:trendlineLbl>
          </c:trendline>
          <c:xVal>
            <c:numRef>
              <c:f>'MultiBox Eulerian Inverse Model'!$L$59:$L$69</c:f>
              <c:numCache>
                <c:formatCode>0.00</c:formatCode>
                <c:ptCount val="11"/>
                <c:pt idx="0">
                  <c:v>-26.945838619008835</c:v>
                </c:pt>
                <c:pt idx="1">
                  <c:v>-26.944114965263463</c:v>
                </c:pt>
                <c:pt idx="2">
                  <c:v>-20.169174571546517</c:v>
                </c:pt>
                <c:pt idx="3">
                  <c:v>13.064189279549003</c:v>
                </c:pt>
                <c:pt idx="4">
                  <c:v>14.970059880239507</c:v>
                </c:pt>
                <c:pt idx="5">
                  <c:v>14.970059880239507</c:v>
                </c:pt>
                <c:pt idx="6">
                  <c:v>14.970059880239507</c:v>
                </c:pt>
                <c:pt idx="7">
                  <c:v>14.970059880239507</c:v>
                </c:pt>
                <c:pt idx="8">
                  <c:v>14.970059880239507</c:v>
                </c:pt>
                <c:pt idx="9">
                  <c:v>-26.514974193610474</c:v>
                </c:pt>
                <c:pt idx="10">
                  <c:v>-26.941468692067172</c:v>
                </c:pt>
              </c:numCache>
            </c:numRef>
          </c:xVal>
          <c:yVal>
            <c:numRef>
              <c:f>'MultiBox Eulerian Inverse Model'!$P$59:$P$69</c:f>
              <c:numCache>
                <c:formatCode>0.00</c:formatCode>
                <c:ptCount val="11"/>
                <c:pt idx="0">
                  <c:v>28.941745947748366</c:v>
                </c:pt>
                <c:pt idx="1">
                  <c:v>28.939502298638018</c:v>
                </c:pt>
                <c:pt idx="2">
                  <c:v>21.634630642129217</c:v>
                </c:pt>
                <c:pt idx="3">
                  <c:v>-12.066124882369049</c:v>
                </c:pt>
                <c:pt idx="4">
                  <c:v>-13.97205588822354</c:v>
                </c:pt>
                <c:pt idx="5">
                  <c:v>-13.97205588822354</c:v>
                </c:pt>
                <c:pt idx="6">
                  <c:v>-13.97205588822354</c:v>
                </c:pt>
                <c:pt idx="7">
                  <c:v>-13.97205588822354</c:v>
                </c:pt>
                <c:pt idx="8">
                  <c:v>-13.97205588822354</c:v>
                </c:pt>
                <c:pt idx="9">
                  <c:v>28.44355737968829</c:v>
                </c:pt>
                <c:pt idx="10">
                  <c:v>28.936150294237073</c:v>
                </c:pt>
              </c:numCache>
            </c:numRef>
          </c:yVal>
          <c:smooth val="0"/>
          <c:extLst>
            <c:ext xmlns:c16="http://schemas.microsoft.com/office/drawing/2014/chart" uri="{C3380CC4-5D6E-409C-BE32-E72D297353CC}">
              <c16:uniqueId val="{00000003-43FE-3F48-BEF5-4BDCED6F4D2B}"/>
            </c:ext>
          </c:extLst>
        </c:ser>
        <c:dLbls>
          <c:showLegendKey val="0"/>
          <c:showVal val="0"/>
          <c:showCatName val="0"/>
          <c:showSerName val="0"/>
          <c:showPercent val="0"/>
          <c:showBubbleSize val="0"/>
        </c:dLbls>
        <c:axId val="38917840"/>
        <c:axId val="57712224"/>
      </c:scatterChart>
      <c:valAx>
        <c:axId val="38917840"/>
        <c:scaling>
          <c:orientation val="minMax"/>
        </c:scaling>
        <c:delete val="0"/>
        <c:axPos val="b"/>
        <c:title>
          <c:tx>
            <c:rich>
              <a:bodyPr rot="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a:t>NEP DIC</a:t>
                </a:r>
              </a:p>
              <a:p>
                <a:pPr>
                  <a:defRPr/>
                </a:pPr>
                <a:r>
                  <a:rPr lang="en-US"/>
                  <a:t>(mmol * m-2 * hr-1)</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low"/>
        <c:spPr>
          <a:noFill/>
          <a:ln w="9525" cap="flat" cmpd="sng" algn="ctr">
            <a:solidFill>
              <a:schemeClr val="tx1"/>
            </a:solidFill>
            <a:prstDash val="sysDot"/>
            <a:round/>
          </a:ln>
          <a:effectLst/>
        </c:spPr>
        <c:txPr>
          <a:bodyPr rot="-600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57712224"/>
        <c:crosses val="autoZero"/>
        <c:crossBetween val="midCat"/>
      </c:valAx>
      <c:valAx>
        <c:axId val="57712224"/>
        <c:scaling>
          <c:orientation val="minMax"/>
        </c:scaling>
        <c:delete val="0"/>
        <c:axPos val="l"/>
        <c:title>
          <c:tx>
            <c:rich>
              <a:bodyPr rot="-54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a:t>NEP O2</a:t>
                </a:r>
              </a:p>
              <a:p>
                <a:pPr>
                  <a:defRPr/>
                </a:pPr>
                <a:r>
                  <a:rPr lang="en-US"/>
                  <a:t>(mmol * m-2 * hr-1)</a:t>
                </a:r>
              </a:p>
            </c:rich>
          </c:tx>
          <c:overlay val="0"/>
          <c:spPr>
            <a:noFill/>
            <a:ln>
              <a:noFill/>
            </a:ln>
            <a:effectLst/>
          </c:spPr>
          <c:txPr>
            <a:bodyPr rot="-54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low"/>
        <c:spPr>
          <a:noFill/>
          <a:ln w="9525" cap="flat" cmpd="sng" algn="ctr">
            <a:solidFill>
              <a:schemeClr val="tx1"/>
            </a:solidFill>
            <a:prstDash val="sysDot"/>
            <a:round/>
          </a:ln>
          <a:effectLst/>
        </c:spPr>
        <c:txPr>
          <a:bodyPr rot="-600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38917840"/>
        <c:crosses val="autoZero"/>
        <c:crossBetween val="midCat"/>
      </c:valAx>
      <c:spPr>
        <a:noFill/>
        <a:ln>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b="1">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r>
              <a:rPr lang="en-US"/>
              <a:t>May</a:t>
            </a:r>
            <a:r>
              <a:rPr lang="en-US" baseline="0"/>
              <a:t> 2014</a:t>
            </a:r>
            <a:endParaRPr lang="en-US"/>
          </a:p>
        </c:rich>
      </c:tx>
      <c:layout>
        <c:manualLayout>
          <c:xMode val="edge"/>
          <c:yMode val="edge"/>
          <c:x val="0.42682068206820684"/>
          <c:y val="3.6764705882352942E-2"/>
        </c:manualLayout>
      </c:layout>
      <c:overlay val="0"/>
      <c:spPr>
        <a:noFill/>
        <a:ln>
          <a:noFill/>
        </a:ln>
        <a:effectLst/>
      </c:spPr>
      <c:txPr>
        <a:bodyPr rot="0" spcFirstLastPara="1" vertOverflow="ellipsis" vert="horz" wrap="square" anchor="ctr" anchorCtr="1"/>
        <a:lstStyle/>
        <a:p>
          <a:pPr>
            <a:defRPr sz="192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layout>
                <c:manualLayout>
                  <c:x val="4.9424160596640114E-2"/>
                  <c:y val="-0.44006648488005146"/>
                </c:manualLayout>
              </c:layout>
              <c:numFmt formatCode="General" sourceLinked="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rendlineLbl>
          </c:trendline>
          <c:xVal>
            <c:numRef>
              <c:f>'Non-Dispersive Model Output'!$O$22:$O$33</c:f>
              <c:numCache>
                <c:formatCode>General</c:formatCode>
                <c:ptCount val="12"/>
                <c:pt idx="0">
                  <c:v>-6.7753068488798327</c:v>
                </c:pt>
                <c:pt idx="1">
                  <c:v>-10.350406637030618</c:v>
                </c:pt>
                <c:pt idx="2">
                  <c:v>-13.30651229898101</c:v>
                </c:pt>
                <c:pt idx="3">
                  <c:v>-14.97946074490436</c:v>
                </c:pt>
                <c:pt idx="4">
                  <c:v>-12.243757117560198</c:v>
                </c:pt>
                <c:pt idx="5">
                  <c:v>-9.2682445764601962</c:v>
                </c:pt>
                <c:pt idx="6">
                  <c:v>-1.973212481535173</c:v>
                </c:pt>
                <c:pt idx="7">
                  <c:v>1.7212486733839172</c:v>
                </c:pt>
                <c:pt idx="8">
                  <c:v>-0.59925318705561426</c:v>
                </c:pt>
                <c:pt idx="9">
                  <c:v>-0.52470822136129369</c:v>
                </c:pt>
                <c:pt idx="10">
                  <c:v>1.4833062710765943</c:v>
                </c:pt>
                <c:pt idx="11">
                  <c:v>0.87396005276079469</c:v>
                </c:pt>
              </c:numCache>
            </c:numRef>
          </c:xVal>
          <c:yVal>
            <c:numRef>
              <c:f>'Non-Dispersive Model Output'!$M$22:$M$33</c:f>
              <c:numCache>
                <c:formatCode>General</c:formatCode>
                <c:ptCount val="12"/>
                <c:pt idx="0">
                  <c:v>4.1535707117228702</c:v>
                </c:pt>
                <c:pt idx="1">
                  <c:v>6.0413581769657698</c:v>
                </c:pt>
                <c:pt idx="2">
                  <c:v>7.0410631946339377</c:v>
                </c:pt>
                <c:pt idx="3">
                  <c:v>7.7571253620896217</c:v>
                </c:pt>
                <c:pt idx="4">
                  <c:v>3.3789236845022019</c:v>
                </c:pt>
                <c:pt idx="5">
                  <c:v>0.30689552491163613</c:v>
                </c:pt>
                <c:pt idx="6">
                  <c:v>-3.362811249028256</c:v>
                </c:pt>
                <c:pt idx="7">
                  <c:v>-3.9214902129807641</c:v>
                </c:pt>
                <c:pt idx="8">
                  <c:v>-4.0864091462176519</c:v>
                </c:pt>
                <c:pt idx="9">
                  <c:v>-4.2668633867031183</c:v>
                </c:pt>
                <c:pt idx="10">
                  <c:v>-4.7882935802328115</c:v>
                </c:pt>
                <c:pt idx="11">
                  <c:v>-1.3500339872982454</c:v>
                </c:pt>
              </c:numCache>
            </c:numRef>
          </c:yVal>
          <c:smooth val="0"/>
          <c:extLst>
            <c:ext xmlns:c16="http://schemas.microsoft.com/office/drawing/2014/chart" uri="{C3380CC4-5D6E-409C-BE32-E72D297353CC}">
              <c16:uniqueId val="{00000001-636F-5648-A748-B37A2A0ACEF0}"/>
            </c:ext>
          </c:extLst>
        </c:ser>
        <c:dLbls>
          <c:showLegendKey val="0"/>
          <c:showVal val="0"/>
          <c:showCatName val="0"/>
          <c:showSerName val="0"/>
          <c:showPercent val="0"/>
          <c:showBubbleSize val="0"/>
        </c:dLbls>
        <c:axId val="1847009360"/>
        <c:axId val="1847011040"/>
      </c:scatterChart>
      <c:valAx>
        <c:axId val="1847009360"/>
        <c:scaling>
          <c:orientation val="minMax"/>
        </c:scaling>
        <c:delete val="0"/>
        <c:axPos val="b"/>
        <c:title>
          <c:tx>
            <c:rich>
              <a:bodyPr rot="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a:t>NEP DIC</a:t>
                </a:r>
                <a:r>
                  <a:rPr lang="en-US" baseline="0"/>
                  <a:t> (mmol*m-2*hr-1)</a:t>
                </a:r>
                <a:endParaRPr lang="en-US"/>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847011040"/>
        <c:crosses val="autoZero"/>
        <c:crossBetween val="midCat"/>
      </c:valAx>
      <c:valAx>
        <c:axId val="1847011040"/>
        <c:scaling>
          <c:orientation val="minMax"/>
        </c:scaling>
        <c:delete val="0"/>
        <c:axPos val="l"/>
        <c:title>
          <c:tx>
            <c:rich>
              <a:bodyPr rot="-540000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a:t>NEP O2 (mmol*m-2*hr-1)</a:t>
                </a:r>
              </a:p>
            </c:rich>
          </c:tx>
          <c:layout>
            <c:manualLayout>
              <c:xMode val="edge"/>
              <c:yMode val="edge"/>
              <c:x val="2.7777777777777776E-2"/>
              <c:y val="9.3171478565179336E-2"/>
            </c:manualLayout>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847009360"/>
        <c:crosses val="autoZero"/>
        <c:crossBetween val="midCat"/>
      </c:valAx>
      <c:spPr>
        <a:noFill/>
        <a:ln>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r>
              <a:rPr lang="en-US"/>
              <a:t>November</a:t>
            </a:r>
            <a:r>
              <a:rPr lang="en-US" baseline="0"/>
              <a:t> 2014</a:t>
            </a:r>
            <a:endParaRPr lang="en-US"/>
          </a:p>
        </c:rich>
      </c:tx>
      <c:layout>
        <c:manualLayout>
          <c:xMode val="edge"/>
          <c:yMode val="edge"/>
          <c:x val="0.42682068206820684"/>
          <c:y val="3.6764705882352942E-2"/>
        </c:manualLayout>
      </c:layout>
      <c:overlay val="0"/>
      <c:spPr>
        <a:noFill/>
        <a:ln>
          <a:noFill/>
        </a:ln>
        <a:effectLst/>
      </c:spPr>
      <c:txPr>
        <a:bodyPr rot="0" spcFirstLastPara="1" vertOverflow="ellipsis" vert="horz" wrap="square" anchor="ctr" anchorCtr="1"/>
        <a:lstStyle/>
        <a:p>
          <a:pPr>
            <a:defRPr sz="192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layout>
                <c:manualLayout>
                  <c:x val="4.9424160596640114E-2"/>
                  <c:y val="-0.44006648488005146"/>
                </c:manualLayout>
              </c:layout>
              <c:numFmt formatCode="General" sourceLinked="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rendlineLbl>
          </c:trendline>
          <c:xVal>
            <c:numRef>
              <c:f>'Non-Dispersive Model Output'!$O$39:$O$48</c:f>
              <c:numCache>
                <c:formatCode>General</c:formatCode>
                <c:ptCount val="10"/>
                <c:pt idx="0">
                  <c:v>12.779721135397084</c:v>
                </c:pt>
                <c:pt idx="1">
                  <c:v>6.9004755172129162</c:v>
                </c:pt>
                <c:pt idx="2">
                  <c:v>0.29394310002326934</c:v>
                </c:pt>
                <c:pt idx="3">
                  <c:v>-2.967464545606262</c:v>
                </c:pt>
                <c:pt idx="4">
                  <c:v>-5.5325719438024583</c:v>
                </c:pt>
                <c:pt idx="5">
                  <c:v>-0.81224537237519323</c:v>
                </c:pt>
                <c:pt idx="6">
                  <c:v>10.753618540116637</c:v>
                </c:pt>
                <c:pt idx="7">
                  <c:v>11.391292099778875</c:v>
                </c:pt>
                <c:pt idx="8">
                  <c:v>12.433643304181484</c:v>
                </c:pt>
                <c:pt idx="9">
                  <c:v>13.75494710105923</c:v>
                </c:pt>
              </c:numCache>
            </c:numRef>
          </c:xVal>
          <c:yVal>
            <c:numRef>
              <c:f>'Non-Dispersive Model Output'!$M$39:$M$48</c:f>
              <c:numCache>
                <c:formatCode>General</c:formatCode>
                <c:ptCount val="10"/>
                <c:pt idx="0">
                  <c:v>1.1128754439989488</c:v>
                </c:pt>
                <c:pt idx="1">
                  <c:v>0.21803659672802486</c:v>
                </c:pt>
                <c:pt idx="2">
                  <c:v>4.7554215249402505</c:v>
                </c:pt>
                <c:pt idx="3">
                  <c:v>6.7211639099373253</c:v>
                </c:pt>
                <c:pt idx="4">
                  <c:v>7.5102850142784643</c:v>
                </c:pt>
                <c:pt idx="5">
                  <c:v>3.4507394171288026</c:v>
                </c:pt>
                <c:pt idx="6">
                  <c:v>-3.2862547521687868</c:v>
                </c:pt>
                <c:pt idx="7">
                  <c:v>-2.8511205556827965</c:v>
                </c:pt>
                <c:pt idx="8">
                  <c:v>-3.0687660722837031</c:v>
                </c:pt>
                <c:pt idx="9">
                  <c:v>-4.3018205606463038</c:v>
                </c:pt>
              </c:numCache>
            </c:numRef>
          </c:yVal>
          <c:smooth val="0"/>
          <c:extLst>
            <c:ext xmlns:c16="http://schemas.microsoft.com/office/drawing/2014/chart" uri="{C3380CC4-5D6E-409C-BE32-E72D297353CC}">
              <c16:uniqueId val="{00000001-029E-D646-83F4-36E2FA69723A}"/>
            </c:ext>
          </c:extLst>
        </c:ser>
        <c:dLbls>
          <c:showLegendKey val="0"/>
          <c:showVal val="0"/>
          <c:showCatName val="0"/>
          <c:showSerName val="0"/>
          <c:showPercent val="0"/>
          <c:showBubbleSize val="0"/>
        </c:dLbls>
        <c:axId val="1847009360"/>
        <c:axId val="1847011040"/>
      </c:scatterChart>
      <c:valAx>
        <c:axId val="1847009360"/>
        <c:scaling>
          <c:orientation val="minMax"/>
        </c:scaling>
        <c:delete val="0"/>
        <c:axPos val="b"/>
        <c:title>
          <c:tx>
            <c:rich>
              <a:bodyPr rot="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a:t>NEP DIC</a:t>
                </a:r>
                <a:r>
                  <a:rPr lang="en-US" baseline="0"/>
                  <a:t> (mmol*m-2*hr-1)</a:t>
                </a:r>
                <a:endParaRPr lang="en-US"/>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847011040"/>
        <c:crosses val="autoZero"/>
        <c:crossBetween val="midCat"/>
      </c:valAx>
      <c:valAx>
        <c:axId val="1847011040"/>
        <c:scaling>
          <c:orientation val="minMax"/>
        </c:scaling>
        <c:delete val="0"/>
        <c:axPos val="l"/>
        <c:title>
          <c:tx>
            <c:rich>
              <a:bodyPr rot="-540000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a:t>NEP O2 (mmol*m-2*hr-1)</a:t>
                </a:r>
              </a:p>
            </c:rich>
          </c:tx>
          <c:layout>
            <c:manualLayout>
              <c:xMode val="edge"/>
              <c:yMode val="edge"/>
              <c:x val="2.7777777777777776E-2"/>
              <c:y val="9.3171478565179336E-2"/>
            </c:manualLayout>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847009360"/>
        <c:crosses val="autoZero"/>
        <c:crossBetween val="midCat"/>
      </c:valAx>
      <c:spPr>
        <a:noFill/>
        <a:ln>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r>
              <a:rPr lang="en-US"/>
              <a:t>October</a:t>
            </a:r>
            <a:r>
              <a:rPr lang="en-US" baseline="0"/>
              <a:t> 2015</a:t>
            </a:r>
            <a:endParaRPr lang="en-US"/>
          </a:p>
        </c:rich>
      </c:tx>
      <c:layout>
        <c:manualLayout>
          <c:xMode val="edge"/>
          <c:yMode val="edge"/>
          <c:x val="0.42682068206820684"/>
          <c:y val="3.6764705882352942E-2"/>
        </c:manualLayout>
      </c:layout>
      <c:overlay val="0"/>
      <c:spPr>
        <a:noFill/>
        <a:ln>
          <a:noFill/>
        </a:ln>
        <a:effectLst/>
      </c:spPr>
      <c:txPr>
        <a:bodyPr rot="0" spcFirstLastPara="1" vertOverflow="ellipsis" vert="horz" wrap="square" anchor="ctr" anchorCtr="1"/>
        <a:lstStyle/>
        <a:p>
          <a:pPr>
            <a:defRPr sz="192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layout>
                <c:manualLayout>
                  <c:x val="4.9424160596640114E-2"/>
                  <c:y val="-0.44006648488005146"/>
                </c:manualLayout>
              </c:layout>
              <c:numFmt formatCode="General" sourceLinked="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rendlineLbl>
          </c:trendline>
          <c:xVal>
            <c:numRef>
              <c:f>'Non-Dispersive Model Output'!$O$57:$O$67</c:f>
              <c:numCache>
                <c:formatCode>General</c:formatCode>
                <c:ptCount val="11"/>
                <c:pt idx="0">
                  <c:v>3.609004569641963</c:v>
                </c:pt>
                <c:pt idx="1">
                  <c:v>1.8439420585688646</c:v>
                </c:pt>
                <c:pt idx="2">
                  <c:v>-2.1207640344000249</c:v>
                </c:pt>
                <c:pt idx="3">
                  <c:v>-4.5847790996597233</c:v>
                </c:pt>
                <c:pt idx="4">
                  <c:v>-4.1198335017238437</c:v>
                </c:pt>
                <c:pt idx="5">
                  <c:v>-4.5130282485398059</c:v>
                </c:pt>
                <c:pt idx="6">
                  <c:v>-3.3110263306288275</c:v>
                </c:pt>
                <c:pt idx="7">
                  <c:v>4.8488430532822342</c:v>
                </c:pt>
                <c:pt idx="8">
                  <c:v>5.0416351335913028</c:v>
                </c:pt>
                <c:pt idx="9">
                  <c:v>6.7399401146131765</c:v>
                </c:pt>
                <c:pt idx="10">
                  <c:v>6.2444576607294984</c:v>
                </c:pt>
              </c:numCache>
            </c:numRef>
          </c:xVal>
          <c:yVal>
            <c:numRef>
              <c:f>'Non-Dispersive Model Output'!$M$57:$M$67</c:f>
              <c:numCache>
                <c:formatCode>General</c:formatCode>
                <c:ptCount val="11"/>
                <c:pt idx="0">
                  <c:v>-1.5936847244081687</c:v>
                </c:pt>
                <c:pt idx="1">
                  <c:v>-7.4577958785876974E-2</c:v>
                </c:pt>
                <c:pt idx="2">
                  <c:v>2.3226031132191189</c:v>
                </c:pt>
                <c:pt idx="3">
                  <c:v>3.1772138047073861</c:v>
                </c:pt>
                <c:pt idx="4">
                  <c:v>2.8889622024433179</c:v>
                </c:pt>
                <c:pt idx="5">
                  <c:v>2.3499098869828101</c:v>
                </c:pt>
                <c:pt idx="6">
                  <c:v>1.1125931243109541</c:v>
                </c:pt>
                <c:pt idx="7">
                  <c:v>-1.596430500422706</c:v>
                </c:pt>
                <c:pt idx="8">
                  <c:v>-1.8160961575852437</c:v>
                </c:pt>
                <c:pt idx="9">
                  <c:v>-2.3054195462735532</c:v>
                </c:pt>
                <c:pt idx="10">
                  <c:v>-2.3004224421779118</c:v>
                </c:pt>
              </c:numCache>
            </c:numRef>
          </c:yVal>
          <c:smooth val="0"/>
          <c:extLst>
            <c:ext xmlns:c16="http://schemas.microsoft.com/office/drawing/2014/chart" uri="{C3380CC4-5D6E-409C-BE32-E72D297353CC}">
              <c16:uniqueId val="{00000001-7821-B041-8DE1-79749A93D0C8}"/>
            </c:ext>
          </c:extLst>
        </c:ser>
        <c:dLbls>
          <c:showLegendKey val="0"/>
          <c:showVal val="0"/>
          <c:showCatName val="0"/>
          <c:showSerName val="0"/>
          <c:showPercent val="0"/>
          <c:showBubbleSize val="0"/>
        </c:dLbls>
        <c:axId val="1847009360"/>
        <c:axId val="1847011040"/>
      </c:scatterChart>
      <c:valAx>
        <c:axId val="1847009360"/>
        <c:scaling>
          <c:orientation val="minMax"/>
        </c:scaling>
        <c:delete val="0"/>
        <c:axPos val="b"/>
        <c:title>
          <c:tx>
            <c:rich>
              <a:bodyPr rot="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a:t>NEP DIC</a:t>
                </a:r>
                <a:r>
                  <a:rPr lang="en-US" baseline="0"/>
                  <a:t> (mmol*m-2*hr-1)</a:t>
                </a:r>
                <a:endParaRPr lang="en-US"/>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847011040"/>
        <c:crosses val="autoZero"/>
        <c:crossBetween val="midCat"/>
      </c:valAx>
      <c:valAx>
        <c:axId val="1847011040"/>
        <c:scaling>
          <c:orientation val="minMax"/>
        </c:scaling>
        <c:delete val="0"/>
        <c:axPos val="l"/>
        <c:title>
          <c:tx>
            <c:rich>
              <a:bodyPr rot="-540000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a:t>NEP O2 (mmol*m-2*hr-1)</a:t>
                </a:r>
              </a:p>
            </c:rich>
          </c:tx>
          <c:layout>
            <c:manualLayout>
              <c:xMode val="edge"/>
              <c:yMode val="edge"/>
              <c:x val="2.7777777777777776E-2"/>
              <c:y val="9.3171478565179336E-2"/>
            </c:manualLayout>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847009360"/>
        <c:crosses val="autoZero"/>
        <c:crossBetween val="midCat"/>
      </c:valAx>
      <c:spPr>
        <a:noFill/>
        <a:ln>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r>
              <a:rPr lang="en-US"/>
              <a:t>March</a:t>
            </a:r>
            <a:r>
              <a:rPr lang="en-US" baseline="0"/>
              <a:t> 2017</a:t>
            </a:r>
            <a:endParaRPr lang="en-US"/>
          </a:p>
        </c:rich>
      </c:tx>
      <c:layout>
        <c:manualLayout>
          <c:xMode val="edge"/>
          <c:yMode val="edge"/>
          <c:x val="0.42682068206820684"/>
          <c:y val="3.6764705882352942E-2"/>
        </c:manualLayout>
      </c:layout>
      <c:overlay val="0"/>
      <c:spPr>
        <a:noFill/>
        <a:ln>
          <a:noFill/>
        </a:ln>
        <a:effectLst/>
      </c:spPr>
      <c:txPr>
        <a:bodyPr rot="0" spcFirstLastPara="1" vertOverflow="ellipsis" vert="horz" wrap="square" anchor="ctr" anchorCtr="1"/>
        <a:lstStyle/>
        <a:p>
          <a:pPr>
            <a:defRPr sz="192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layout>
                <c:manualLayout>
                  <c:x val="4.678133533020188E-2"/>
                  <c:y val="-0.41373602132418275"/>
                </c:manualLayout>
              </c:layout>
              <c:numFmt formatCode="General" sourceLinked="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rendlineLbl>
          </c:trendline>
          <c:xVal>
            <c:numRef>
              <c:f>'Non-Dispersive Model Output'!$O$74:$O$84</c:f>
              <c:numCache>
                <c:formatCode>General</c:formatCode>
                <c:ptCount val="11"/>
                <c:pt idx="0">
                  <c:v>-10.084247481642644</c:v>
                </c:pt>
                <c:pt idx="1">
                  <c:v>-13.151496853865048</c:v>
                </c:pt>
                <c:pt idx="2">
                  <c:v>-18.532857877721952</c:v>
                </c:pt>
                <c:pt idx="3">
                  <c:v>-14.408366361332789</c:v>
                </c:pt>
                <c:pt idx="4">
                  <c:v>-3.1649907241383755</c:v>
                </c:pt>
                <c:pt idx="5">
                  <c:v>4.4192993937616976</c:v>
                </c:pt>
                <c:pt idx="6">
                  <c:v>5.0419021701921123</c:v>
                </c:pt>
                <c:pt idx="7">
                  <c:v>6.8480836250082877</c:v>
                </c:pt>
                <c:pt idx="8">
                  <c:v>7.4885343613618209</c:v>
                </c:pt>
                <c:pt idx="9">
                  <c:v>3.8266512098486993</c:v>
                </c:pt>
                <c:pt idx="10">
                  <c:v>-2.9378574950242853</c:v>
                </c:pt>
              </c:numCache>
            </c:numRef>
          </c:xVal>
          <c:yVal>
            <c:numRef>
              <c:f>'Non-Dispersive Model Output'!$M$74:$M$84</c:f>
              <c:numCache>
                <c:formatCode>General</c:formatCode>
                <c:ptCount val="11"/>
                <c:pt idx="0">
                  <c:v>5.865869800652491</c:v>
                </c:pt>
                <c:pt idx="1">
                  <c:v>7.4233405131093262</c:v>
                </c:pt>
                <c:pt idx="2">
                  <c:v>8.6988204812198582</c:v>
                </c:pt>
                <c:pt idx="3">
                  <c:v>5.0342652781718824</c:v>
                </c:pt>
                <c:pt idx="4">
                  <c:v>-0.46038852510694667</c:v>
                </c:pt>
                <c:pt idx="5">
                  <c:v>-4.6858763937681722</c:v>
                </c:pt>
                <c:pt idx="6">
                  <c:v>-5.1338097853937974</c:v>
                </c:pt>
                <c:pt idx="7">
                  <c:v>-5.7028009515906719</c:v>
                </c:pt>
                <c:pt idx="8">
                  <c:v>-5.8672914230167379</c:v>
                </c:pt>
                <c:pt idx="9">
                  <c:v>-4.1555730776296649</c:v>
                </c:pt>
                <c:pt idx="10">
                  <c:v>1.4827201033449537</c:v>
                </c:pt>
              </c:numCache>
            </c:numRef>
          </c:yVal>
          <c:smooth val="0"/>
          <c:extLst>
            <c:ext xmlns:c16="http://schemas.microsoft.com/office/drawing/2014/chart" uri="{C3380CC4-5D6E-409C-BE32-E72D297353CC}">
              <c16:uniqueId val="{00000001-9C35-FF45-981F-FBFDF2253239}"/>
            </c:ext>
          </c:extLst>
        </c:ser>
        <c:dLbls>
          <c:showLegendKey val="0"/>
          <c:showVal val="0"/>
          <c:showCatName val="0"/>
          <c:showSerName val="0"/>
          <c:showPercent val="0"/>
          <c:showBubbleSize val="0"/>
        </c:dLbls>
        <c:axId val="1847009360"/>
        <c:axId val="1847011040"/>
      </c:scatterChart>
      <c:valAx>
        <c:axId val="1847009360"/>
        <c:scaling>
          <c:orientation val="minMax"/>
        </c:scaling>
        <c:delete val="0"/>
        <c:axPos val="b"/>
        <c:title>
          <c:tx>
            <c:rich>
              <a:bodyPr rot="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a:t>NEP DIC</a:t>
                </a:r>
                <a:r>
                  <a:rPr lang="en-US" baseline="0"/>
                  <a:t> (mmol*m-2*hr-1)</a:t>
                </a:r>
                <a:endParaRPr lang="en-US"/>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847011040"/>
        <c:crosses val="autoZero"/>
        <c:crossBetween val="midCat"/>
      </c:valAx>
      <c:valAx>
        <c:axId val="1847011040"/>
        <c:scaling>
          <c:orientation val="minMax"/>
        </c:scaling>
        <c:delete val="0"/>
        <c:axPos val="l"/>
        <c:title>
          <c:tx>
            <c:rich>
              <a:bodyPr rot="-540000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a:t>NEP O2 (mmol*m-2*hr-1)</a:t>
                </a:r>
              </a:p>
            </c:rich>
          </c:tx>
          <c:layout>
            <c:manualLayout>
              <c:xMode val="edge"/>
              <c:yMode val="edge"/>
              <c:x val="2.7777777777777776E-2"/>
              <c:y val="9.3171478565179336E-2"/>
            </c:manualLayout>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847009360"/>
        <c:crosses val="autoZero"/>
        <c:crossBetween val="midCat"/>
      </c:valAx>
      <c:spPr>
        <a:noFill/>
        <a:ln>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Measured vs Modeled DIC</a:t>
            </a:r>
            <a:r>
              <a:rPr lang="en-US" baseline="0"/>
              <a:t> - October 2015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147482801491919"/>
                  <c:y val="-0.111527777777778"/>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'MultiBox Eulerian Inverse Model'!$D$104:$D$114</c:f>
              <c:numCache>
                <c:formatCode>0.00</c:formatCode>
                <c:ptCount val="11"/>
                <c:pt idx="0">
                  <c:v>2008.8060663213521</c:v>
                </c:pt>
                <c:pt idx="1">
                  <c:v>1993.743512361749</c:v>
                </c:pt>
                <c:pt idx="2">
                  <c:v>1959.8859755760623</c:v>
                </c:pt>
                <c:pt idx="3">
                  <c:v>1938.822718355392</c:v>
                </c:pt>
                <c:pt idx="4">
                  <c:v>1942.8118954710765</c:v>
                </c:pt>
                <c:pt idx="5">
                  <c:v>1939.4402022267036</c:v>
                </c:pt>
                <c:pt idx="6">
                  <c:v>1949.7016402324077</c:v>
                </c:pt>
                <c:pt idx="7">
                  <c:v>2019.3828183873397</c:v>
                </c:pt>
                <c:pt idx="8">
                  <c:v>2021.0342018176016</c:v>
                </c:pt>
                <c:pt idx="9">
                  <c:v>2035.5308006069633</c:v>
                </c:pt>
                <c:pt idx="10">
                  <c:v>2031.297001150198</c:v>
                </c:pt>
              </c:numCache>
            </c:numRef>
          </c:xVal>
          <c:yVal>
            <c:numRef>
              <c:f>'MultiBox Eulerian Inverse Model'!$C$104:$C$114</c:f>
              <c:numCache>
                <c:formatCode>0.00</c:formatCode>
                <c:ptCount val="11"/>
                <c:pt idx="0">
                  <c:v>2030.8281914519998</c:v>
                </c:pt>
                <c:pt idx="1">
                  <c:v>1993.5366146650001</c:v>
                </c:pt>
                <c:pt idx="2">
                  <c:v>1962.3884291070001</c:v>
                </c:pt>
                <c:pt idx="3">
                  <c:v>1946.994151997</c:v>
                </c:pt>
                <c:pt idx="4">
                  <c:v>1939.4004880770001</c:v>
                </c:pt>
                <c:pt idx="5">
                  <c:v>1935.6548447299999</c:v>
                </c:pt>
                <c:pt idx="6">
                  <c:v>1943.193861299</c:v>
                </c:pt>
                <c:pt idx="7">
                  <c:v>2013.2030044579999</c:v>
                </c:pt>
                <c:pt idx="8">
                  <c:v>2023.9988347819999</c:v>
                </c:pt>
                <c:pt idx="9">
                  <c:v>2029.081551969</c:v>
                </c:pt>
                <c:pt idx="10">
                  <c:v>2031.5288597460001</c:v>
                </c:pt>
              </c:numCache>
            </c:numRef>
          </c:yVal>
          <c:smooth val="0"/>
          <c:extLst>
            <c:ext xmlns:c16="http://schemas.microsoft.com/office/drawing/2014/chart" uri="{C3380CC4-5D6E-409C-BE32-E72D297353CC}">
              <c16:uniqueId val="{00000001-4C52-4445-BD3A-02C5DB735102}"/>
            </c:ext>
          </c:extLst>
        </c:ser>
        <c:dLbls>
          <c:showLegendKey val="0"/>
          <c:showVal val="0"/>
          <c:showCatName val="0"/>
          <c:showSerName val="0"/>
          <c:showPercent val="0"/>
          <c:showBubbleSize val="0"/>
        </c:dLbls>
        <c:axId val="-1202776400"/>
        <c:axId val="-1202773920"/>
      </c:scatterChart>
      <c:valAx>
        <c:axId val="-1202776400"/>
        <c:scaling>
          <c:orientation val="minMax"/>
        </c:scaling>
        <c:delete val="0"/>
        <c:axPos val="b"/>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2773920"/>
        <c:crosses val="autoZero"/>
        <c:crossBetween val="midCat"/>
      </c:valAx>
      <c:valAx>
        <c:axId val="-1202773920"/>
        <c:scaling>
          <c:orientation val="minMax"/>
        </c:scaling>
        <c:delete val="0"/>
        <c:axPos val="l"/>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2776400"/>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Measured vs Modeled TA </a:t>
            </a:r>
            <a:r>
              <a:rPr lang="en-US" baseline="0"/>
              <a:t>- October 2015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12596249481972599"/>
                  <c:y val="-0.19077026829979599"/>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'MultiBox Eulerian Inverse Model'!$I$104:$I$114</c:f>
              <c:numCache>
                <c:formatCode>0.00</c:formatCode>
                <c:ptCount val="11"/>
                <c:pt idx="0">
                  <c:v>2329.5669560263605</c:v>
                </c:pt>
                <c:pt idx="1">
                  <c:v>2334.2406354154577</c:v>
                </c:pt>
                <c:pt idx="2">
                  <c:v>2321.6077802950758</c:v>
                </c:pt>
                <c:pt idx="3">
                  <c:v>2292.788483324583</c:v>
                </c:pt>
                <c:pt idx="4">
                  <c:v>2312.8589589113776</c:v>
                </c:pt>
                <c:pt idx="5">
                  <c:v>2297.7579909937281</c:v>
                </c:pt>
                <c:pt idx="6">
                  <c:v>2298.2239937199056</c:v>
                </c:pt>
                <c:pt idx="7">
                  <c:v>2322.6723603784644</c:v>
                </c:pt>
                <c:pt idx="8">
                  <c:v>2328.096054024089</c:v>
                </c:pt>
                <c:pt idx="9">
                  <c:v>2327.0080325198728</c:v>
                </c:pt>
                <c:pt idx="10">
                  <c:v>2322.8858859025718</c:v>
                </c:pt>
              </c:numCache>
            </c:numRef>
          </c:xVal>
          <c:yVal>
            <c:numRef>
              <c:f>'MultiBox Eulerian Inverse Model'!$H$104:$H$114</c:f>
              <c:numCache>
                <c:formatCode>0.00</c:formatCode>
                <c:ptCount val="11"/>
                <c:pt idx="0">
                  <c:v>2327.1661593260001</c:v>
                </c:pt>
                <c:pt idx="1">
                  <c:v>2314.0461174780003</c:v>
                </c:pt>
                <c:pt idx="2">
                  <c:v>2304.1437376520003</c:v>
                </c:pt>
                <c:pt idx="3">
                  <c:v>2299.2384220590002</c:v>
                </c:pt>
                <c:pt idx="4">
                  <c:v>2296.812526054</c:v>
                </c:pt>
                <c:pt idx="5">
                  <c:v>2295.6129202060001</c:v>
                </c:pt>
                <c:pt idx="6">
                  <c:v>2297.4540058069997</c:v>
                </c:pt>
                <c:pt idx="7">
                  <c:v>2321.3418385169998</c:v>
                </c:pt>
                <c:pt idx="8">
                  <c:v>2325.0862387230004</c:v>
                </c:pt>
                <c:pt idx="9">
                  <c:v>2326.8549021059998</c:v>
                </c:pt>
                <c:pt idx="10">
                  <c:v>2327.7092560710003</c:v>
                </c:pt>
              </c:numCache>
            </c:numRef>
          </c:yVal>
          <c:smooth val="0"/>
          <c:extLst>
            <c:ext xmlns:c16="http://schemas.microsoft.com/office/drawing/2014/chart" uri="{C3380CC4-5D6E-409C-BE32-E72D297353CC}">
              <c16:uniqueId val="{00000001-CDFF-074F-87C8-BA4FF10D395D}"/>
            </c:ext>
          </c:extLst>
        </c:ser>
        <c:dLbls>
          <c:showLegendKey val="0"/>
          <c:showVal val="0"/>
          <c:showCatName val="0"/>
          <c:showSerName val="0"/>
          <c:showPercent val="0"/>
          <c:showBubbleSize val="0"/>
        </c:dLbls>
        <c:axId val="-1202751264"/>
        <c:axId val="-1202748784"/>
      </c:scatterChart>
      <c:valAx>
        <c:axId val="-1202751264"/>
        <c:scaling>
          <c:orientation val="minMax"/>
        </c:scaling>
        <c:delete val="0"/>
        <c:axPos val="b"/>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2748784"/>
        <c:crosses val="autoZero"/>
        <c:crossBetween val="midCat"/>
      </c:valAx>
      <c:valAx>
        <c:axId val="-1202748784"/>
        <c:scaling>
          <c:orientation val="minMax"/>
        </c:scaling>
        <c:delete val="0"/>
        <c:axPos val="l"/>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2751264"/>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Measured vs Modeled O2 </a:t>
            </a:r>
            <a:r>
              <a:rPr lang="en-US" baseline="0"/>
              <a:t>- October 2015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12149171156237"/>
                  <c:y val="-0.120787037037037"/>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'MultiBox Eulerian Inverse Model'!$N$104:$N$114</c:f>
              <c:numCache>
                <c:formatCode>0.00</c:formatCode>
                <c:ptCount val="11"/>
                <c:pt idx="0">
                  <c:v>183.40102266850664</c:v>
                </c:pt>
                <c:pt idx="1">
                  <c:v>196.36012403203611</c:v>
                </c:pt>
                <c:pt idx="2">
                  <c:v>216.81693098303583</c:v>
                </c:pt>
                <c:pt idx="3">
                  <c:v>224.11229311154705</c:v>
                </c:pt>
                <c:pt idx="4">
                  <c:v>221.6535489647701</c:v>
                </c:pt>
                <c:pt idx="5">
                  <c:v>217.05323645605986</c:v>
                </c:pt>
                <c:pt idx="6">
                  <c:v>206.4929874121699</c:v>
                </c:pt>
                <c:pt idx="7">
                  <c:v>183.37771079293307</c:v>
                </c:pt>
                <c:pt idx="8">
                  <c:v>181.50262897075376</c:v>
                </c:pt>
                <c:pt idx="9">
                  <c:v>177.32279036097614</c:v>
                </c:pt>
                <c:pt idx="10">
                  <c:v>177.36487950702622</c:v>
                </c:pt>
              </c:numCache>
            </c:numRef>
          </c:xVal>
          <c:yVal>
            <c:numRef>
              <c:f>'MultiBox Eulerian Inverse Model'!$M$104:$M$114</c:f>
              <c:numCache>
                <c:formatCode>0.00</c:formatCode>
                <c:ptCount val="11"/>
                <c:pt idx="0">
                  <c:v>177.356759466</c:v>
                </c:pt>
                <c:pt idx="1">
                  <c:v>198.01738386700001</c:v>
                </c:pt>
                <c:pt idx="2">
                  <c:v>212.24280940400001</c:v>
                </c:pt>
                <c:pt idx="3">
                  <c:v>218.706499237</c:v>
                </c:pt>
                <c:pt idx="4">
                  <c:v>221.638878707</c:v>
                </c:pt>
                <c:pt idx="5">
                  <c:v>222.96920272700001</c:v>
                </c:pt>
                <c:pt idx="6">
                  <c:v>220.08706510000002</c:v>
                </c:pt>
                <c:pt idx="7">
                  <c:v>184.19802747999998</c:v>
                </c:pt>
                <c:pt idx="8">
                  <c:v>179.36947102799999</c:v>
                </c:pt>
                <c:pt idx="9">
                  <c:v>176.354485807</c:v>
                </c:pt>
                <c:pt idx="10">
                  <c:v>176.309161561</c:v>
                </c:pt>
              </c:numCache>
            </c:numRef>
          </c:yVal>
          <c:smooth val="0"/>
          <c:extLst>
            <c:ext xmlns:c16="http://schemas.microsoft.com/office/drawing/2014/chart" uri="{C3380CC4-5D6E-409C-BE32-E72D297353CC}">
              <c16:uniqueId val="{00000001-FBE5-5644-8451-EC2061C01E1A}"/>
            </c:ext>
          </c:extLst>
        </c:ser>
        <c:dLbls>
          <c:showLegendKey val="0"/>
          <c:showVal val="0"/>
          <c:showCatName val="0"/>
          <c:showSerName val="0"/>
          <c:showPercent val="0"/>
          <c:showBubbleSize val="0"/>
        </c:dLbls>
        <c:axId val="-1156573008"/>
        <c:axId val="-1156570528"/>
      </c:scatterChart>
      <c:valAx>
        <c:axId val="-1156573008"/>
        <c:scaling>
          <c:orientation val="minMax"/>
          <c:min val="170"/>
        </c:scaling>
        <c:delete val="0"/>
        <c:axPos val="b"/>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6570528"/>
        <c:crosses val="autoZero"/>
        <c:crossBetween val="midCat"/>
      </c:valAx>
      <c:valAx>
        <c:axId val="-1156570528"/>
        <c:scaling>
          <c:orientation val="minMax"/>
        </c:scaling>
        <c:delete val="0"/>
        <c:axPos val="l"/>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6573008"/>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TA</c:v>
          </c:tx>
          <c:spPr>
            <a:ln w="25400" cap="rnd">
              <a:noFill/>
              <a:round/>
            </a:ln>
            <a:effectLst/>
          </c:spPr>
          <c:marker>
            <c:symbol val="circle"/>
            <c:size val="8"/>
            <c:spPr>
              <a:solidFill>
                <a:srgbClr val="00B0F0"/>
              </a:solidFill>
              <a:ln w="9525">
                <a:noFill/>
              </a:ln>
              <a:effectLst/>
            </c:spPr>
          </c:marker>
          <c:errBars>
            <c:errDir val="y"/>
            <c:errBarType val="both"/>
            <c:errValType val="fixedVal"/>
            <c:noEndCap val="0"/>
            <c:val val="4.3"/>
            <c:spPr>
              <a:noFill/>
              <a:ln w="9525" cap="flat" cmpd="sng" algn="ctr">
                <a:solidFill>
                  <a:schemeClr val="tx1">
                    <a:lumMod val="65000"/>
                    <a:lumOff val="35000"/>
                  </a:schemeClr>
                </a:solidFill>
                <a:round/>
              </a:ln>
              <a:effectLst/>
            </c:spPr>
          </c:errBars>
          <c:xVal>
            <c:numRef>
              <c:f>'All Experimental Diel Data'!$A$3:$A$15</c:f>
              <c:numCache>
                <c:formatCode>h:mm;@</c:formatCode>
                <c:ptCount val="13"/>
                <c:pt idx="0">
                  <c:v>0.45833333333333331</c:v>
                </c:pt>
                <c:pt idx="1">
                  <c:v>0.54166666666666663</c:v>
                </c:pt>
                <c:pt idx="2">
                  <c:v>0.625</c:v>
                </c:pt>
                <c:pt idx="3">
                  <c:v>0.70833333333333304</c:v>
                </c:pt>
                <c:pt idx="4">
                  <c:v>0.79166666666666596</c:v>
                </c:pt>
                <c:pt idx="5">
                  <c:v>0.875</c:v>
                </c:pt>
                <c:pt idx="6">
                  <c:v>0.95833333333333304</c:v>
                </c:pt>
                <c:pt idx="7">
                  <c:v>1.0416666666666701</c:v>
                </c:pt>
                <c:pt idx="8">
                  <c:v>1.125</c:v>
                </c:pt>
                <c:pt idx="9">
                  <c:v>1.2083333333333299</c:v>
                </c:pt>
                <c:pt idx="10">
                  <c:v>1.2916666666666701</c:v>
                </c:pt>
                <c:pt idx="11">
                  <c:v>1.375</c:v>
                </c:pt>
                <c:pt idx="12">
                  <c:v>1.4583333333333299</c:v>
                </c:pt>
              </c:numCache>
            </c:numRef>
          </c:xVal>
          <c:yVal>
            <c:numRef>
              <c:f>'All Experimental Diel Data'!$E$3:$E$15</c:f>
              <c:numCache>
                <c:formatCode>0.00</c:formatCode>
                <c:ptCount val="13"/>
                <c:pt idx="0">
                  <c:v>2310.2735361689702</c:v>
                </c:pt>
                <c:pt idx="1">
                  <c:v>2303.5782077381591</c:v>
                </c:pt>
                <c:pt idx="2">
                  <c:v>2284.102739021293</c:v>
                </c:pt>
                <c:pt idx="3">
                  <c:v>2284.5362469366155</c:v>
                </c:pt>
                <c:pt idx="4">
                  <c:v>2285.2123795210841</c:v>
                </c:pt>
                <c:pt idx="5">
                  <c:v>2302.4974450653867</c:v>
                </c:pt>
                <c:pt idx="6">
                  <c:v>2308.8026894087634</c:v>
                </c:pt>
                <c:pt idx="7">
                  <c:v>2316.5786479514245</c:v>
                </c:pt>
                <c:pt idx="8">
                  <c:v>2307.8678122674205</c:v>
                </c:pt>
                <c:pt idx="9">
                  <c:v>2306.4022544971817</c:v>
                </c:pt>
                <c:pt idx="10">
                  <c:v>2311.9063539512717</c:v>
                </c:pt>
                <c:pt idx="11">
                  <c:v>2317.9585605847624</c:v>
                </c:pt>
                <c:pt idx="12">
                  <c:v>2306.0103825105875</c:v>
                </c:pt>
              </c:numCache>
            </c:numRef>
          </c:yVal>
          <c:smooth val="0"/>
          <c:extLst>
            <c:ext xmlns:c16="http://schemas.microsoft.com/office/drawing/2014/chart" uri="{C3380CC4-5D6E-409C-BE32-E72D297353CC}">
              <c16:uniqueId val="{00000000-BBCA-DB42-9896-FA656C29657D}"/>
            </c:ext>
          </c:extLst>
        </c:ser>
        <c:dLbls>
          <c:showLegendKey val="0"/>
          <c:showVal val="0"/>
          <c:showCatName val="0"/>
          <c:showSerName val="0"/>
          <c:showPercent val="0"/>
          <c:showBubbleSize val="0"/>
        </c:dLbls>
        <c:axId val="424093136"/>
        <c:axId val="424196800"/>
      </c:scatterChart>
      <c:scatterChart>
        <c:scatterStyle val="lineMarker"/>
        <c:varyColors val="0"/>
        <c:ser>
          <c:idx val="1"/>
          <c:order val="1"/>
          <c:tx>
            <c:v>DIC</c:v>
          </c:tx>
          <c:spPr>
            <a:ln w="25400" cap="rnd">
              <a:noFill/>
              <a:round/>
            </a:ln>
            <a:effectLst/>
          </c:spPr>
          <c:marker>
            <c:symbol val="circle"/>
            <c:size val="8"/>
            <c:spPr>
              <a:solidFill>
                <a:schemeClr val="accent2">
                  <a:lumMod val="75000"/>
                </a:schemeClr>
              </a:solidFill>
              <a:ln w="9525">
                <a:solidFill>
                  <a:schemeClr val="accent2"/>
                </a:solidFill>
              </a:ln>
              <a:effectLst/>
            </c:spPr>
          </c:marker>
          <c:errBars>
            <c:errDir val="y"/>
            <c:errBarType val="both"/>
            <c:errValType val="fixedVal"/>
            <c:noEndCap val="0"/>
            <c:val val="3.7"/>
            <c:spPr>
              <a:noFill/>
              <a:ln w="9525" cap="flat" cmpd="sng" algn="ctr">
                <a:solidFill>
                  <a:schemeClr val="tx1">
                    <a:lumMod val="65000"/>
                    <a:lumOff val="35000"/>
                  </a:schemeClr>
                </a:solidFill>
                <a:round/>
              </a:ln>
              <a:effectLst/>
            </c:spPr>
          </c:errBars>
          <c:xVal>
            <c:numRef>
              <c:f>'All Experimental Diel Data'!$A$3:$A$15</c:f>
              <c:numCache>
                <c:formatCode>h:mm;@</c:formatCode>
                <c:ptCount val="13"/>
                <c:pt idx="0">
                  <c:v>0.45833333333333331</c:v>
                </c:pt>
                <c:pt idx="1">
                  <c:v>0.54166666666666663</c:v>
                </c:pt>
                <c:pt idx="2">
                  <c:v>0.625</c:v>
                </c:pt>
                <c:pt idx="3">
                  <c:v>0.70833333333333304</c:v>
                </c:pt>
                <c:pt idx="4">
                  <c:v>0.79166666666666596</c:v>
                </c:pt>
                <c:pt idx="5">
                  <c:v>0.875</c:v>
                </c:pt>
                <c:pt idx="6">
                  <c:v>0.95833333333333304</c:v>
                </c:pt>
                <c:pt idx="7">
                  <c:v>1.0416666666666701</c:v>
                </c:pt>
                <c:pt idx="8">
                  <c:v>1.125</c:v>
                </c:pt>
                <c:pt idx="9">
                  <c:v>1.2083333333333299</c:v>
                </c:pt>
                <c:pt idx="10">
                  <c:v>1.2916666666666701</c:v>
                </c:pt>
                <c:pt idx="11">
                  <c:v>1.375</c:v>
                </c:pt>
                <c:pt idx="12">
                  <c:v>1.4583333333333299</c:v>
                </c:pt>
              </c:numCache>
            </c:numRef>
          </c:xVal>
          <c:yVal>
            <c:numRef>
              <c:f>'All Experimental Diel Data'!$H$3:$H$15</c:f>
              <c:numCache>
                <c:formatCode>0.00</c:formatCode>
                <c:ptCount val="13"/>
                <c:pt idx="0">
                  <c:v>1920.1413679093203</c:v>
                </c:pt>
                <c:pt idx="1">
                  <c:v>1889.6155647243258</c:v>
                </c:pt>
                <c:pt idx="2">
                  <c:v>1864.3610371662905</c:v>
                </c:pt>
                <c:pt idx="3">
                  <c:v>1850.0804671648878</c:v>
                </c:pt>
                <c:pt idx="4">
                  <c:v>1873.4346197845284</c:v>
                </c:pt>
                <c:pt idx="5">
                  <c:v>1898.852534697842</c:v>
                </c:pt>
                <c:pt idx="6">
                  <c:v>1961.1327501400733</c:v>
                </c:pt>
                <c:pt idx="7">
                  <c:v>1992.6781779844314</c:v>
                </c:pt>
                <c:pt idx="8">
                  <c:v>1972.8604660702304</c:v>
                </c:pt>
                <c:pt idx="9">
                  <c:v>1973.4953621595473</c:v>
                </c:pt>
                <c:pt idx="10">
                  <c:v>1990.6423571540947</c:v>
                </c:pt>
                <c:pt idx="11">
                  <c:v>1985.4468711329771</c:v>
                </c:pt>
                <c:pt idx="12">
                  <c:v>1944.8381548377661</c:v>
                </c:pt>
              </c:numCache>
            </c:numRef>
          </c:yVal>
          <c:smooth val="0"/>
          <c:extLst>
            <c:ext xmlns:c16="http://schemas.microsoft.com/office/drawing/2014/chart" uri="{C3380CC4-5D6E-409C-BE32-E72D297353CC}">
              <c16:uniqueId val="{00000001-BBCA-DB42-9896-FA656C29657D}"/>
            </c:ext>
          </c:extLst>
        </c:ser>
        <c:dLbls>
          <c:showLegendKey val="0"/>
          <c:showVal val="0"/>
          <c:showCatName val="0"/>
          <c:showSerName val="0"/>
          <c:showPercent val="0"/>
          <c:showBubbleSize val="0"/>
        </c:dLbls>
        <c:axId val="478748768"/>
        <c:axId val="423267824"/>
      </c:scatterChart>
      <c:valAx>
        <c:axId val="424093136"/>
        <c:scaling>
          <c:orientation val="minMax"/>
          <c:max val="1.5"/>
          <c:min val="0.33333333333300008"/>
        </c:scaling>
        <c:delete val="0"/>
        <c:axPos val="b"/>
        <c:numFmt formatCode="h:mm;@" sourceLinked="1"/>
        <c:majorTickMark val="cross"/>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424196800"/>
        <c:crosses val="autoZero"/>
        <c:crossBetween val="midCat"/>
        <c:majorUnit val="0.16666666666667002"/>
      </c:valAx>
      <c:valAx>
        <c:axId val="424196800"/>
        <c:scaling>
          <c:orientation val="minMax"/>
          <c:max val="2350"/>
          <c:min val="2230"/>
        </c:scaling>
        <c:delete val="0"/>
        <c:axPos val="l"/>
        <c:title>
          <c:tx>
            <c:rich>
              <a:bodyPr rot="-5400000" spcFirstLastPara="1" vertOverflow="ellipsis" vert="horz" wrap="square" anchor="ctr" anchorCtr="1"/>
              <a:lstStyle/>
              <a:p>
                <a:pPr>
                  <a:defRPr sz="1400" b="1" i="0" u="none" strike="noStrike" kern="1200" baseline="0">
                    <a:solidFill>
                      <a:srgbClr val="00B0F0"/>
                    </a:solidFill>
                    <a:latin typeface="Times New Roman" panose="02020603050405020304" pitchFamily="18" charset="0"/>
                    <a:ea typeface="+mn-ea"/>
                    <a:cs typeface="Times New Roman" panose="02020603050405020304" pitchFamily="18" charset="0"/>
                  </a:defRPr>
                </a:pPr>
                <a:r>
                  <a:rPr lang="en-US">
                    <a:solidFill>
                      <a:srgbClr val="00B0F0"/>
                    </a:solidFill>
                  </a:rPr>
                  <a:t>nTA</a:t>
                </a:r>
              </a:p>
              <a:p>
                <a:pPr>
                  <a:defRPr>
                    <a:solidFill>
                      <a:srgbClr val="00B0F0"/>
                    </a:solidFill>
                  </a:defRPr>
                </a:pPr>
                <a:r>
                  <a:rPr lang="en-US">
                    <a:solidFill>
                      <a:srgbClr val="00B0F0"/>
                    </a:solidFill>
                  </a:rPr>
                  <a:t>(µmol*kg-1)</a:t>
                </a:r>
              </a:p>
            </c:rich>
          </c:tx>
          <c:overlay val="0"/>
          <c:spPr>
            <a:noFill/>
            <a:ln>
              <a:noFill/>
            </a:ln>
            <a:effectLst/>
          </c:spPr>
          <c:txPr>
            <a:bodyPr rot="-5400000" spcFirstLastPara="1" vertOverflow="ellipsis" vert="horz" wrap="square" anchor="ctr" anchorCtr="1"/>
            <a:lstStyle/>
            <a:p>
              <a:pPr>
                <a:defRPr sz="1400" b="1" i="0" u="none" strike="noStrike" kern="1200" baseline="0">
                  <a:solidFill>
                    <a:srgbClr val="00B0F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rgbClr val="00B0F0"/>
                </a:solidFill>
                <a:latin typeface="Times New Roman" panose="02020603050405020304" pitchFamily="18" charset="0"/>
                <a:ea typeface="+mn-ea"/>
                <a:cs typeface="Times New Roman" panose="02020603050405020304" pitchFamily="18" charset="0"/>
              </a:defRPr>
            </a:pPr>
            <a:endParaRPr lang="en-US"/>
          </a:p>
        </c:txPr>
        <c:crossAx val="424093136"/>
        <c:crosses val="autoZero"/>
        <c:crossBetween val="midCat"/>
      </c:valAx>
      <c:valAx>
        <c:axId val="423267824"/>
        <c:scaling>
          <c:orientation val="minMax"/>
          <c:max val="2100"/>
          <c:min val="1800"/>
        </c:scaling>
        <c:delete val="0"/>
        <c:axPos val="r"/>
        <c:title>
          <c:tx>
            <c:rich>
              <a:bodyPr rot="5400000" spcFirstLastPara="1" vertOverflow="ellipsis" wrap="square" anchor="ctr" anchorCtr="1"/>
              <a:lstStyle/>
              <a:p>
                <a:pPr>
                  <a:defRPr sz="1400" b="1" i="0" u="none" strike="noStrike" kern="1200" baseline="0">
                    <a:solidFill>
                      <a:schemeClr val="accent2">
                        <a:lumMod val="75000"/>
                      </a:schemeClr>
                    </a:solidFill>
                    <a:latin typeface="Times New Roman" panose="02020603050405020304" pitchFamily="18" charset="0"/>
                    <a:ea typeface="+mn-ea"/>
                    <a:cs typeface="Times New Roman" panose="02020603050405020304" pitchFamily="18" charset="0"/>
                  </a:defRPr>
                </a:pPr>
                <a:r>
                  <a:rPr lang="en-US">
                    <a:solidFill>
                      <a:schemeClr val="accent2">
                        <a:lumMod val="75000"/>
                      </a:schemeClr>
                    </a:solidFill>
                  </a:rPr>
                  <a:t>nDIC</a:t>
                </a:r>
              </a:p>
              <a:p>
                <a:pPr>
                  <a:defRPr>
                    <a:solidFill>
                      <a:schemeClr val="accent2">
                        <a:lumMod val="75000"/>
                      </a:schemeClr>
                    </a:solidFill>
                  </a:defRPr>
                </a:pPr>
                <a:r>
                  <a:rPr lang="en-US">
                    <a:solidFill>
                      <a:schemeClr val="accent2">
                        <a:lumMod val="75000"/>
                      </a:schemeClr>
                    </a:solidFill>
                  </a:rPr>
                  <a:t>(µmol*kg-1)</a:t>
                </a:r>
              </a:p>
            </c:rich>
          </c:tx>
          <c:overlay val="0"/>
          <c:spPr>
            <a:noFill/>
            <a:ln>
              <a:noFill/>
            </a:ln>
            <a:effectLst/>
          </c:spPr>
          <c:txPr>
            <a:bodyPr rot="5400000" spcFirstLastPara="1" vertOverflow="ellipsis" wrap="square" anchor="ctr" anchorCtr="1"/>
            <a:lstStyle/>
            <a:p>
              <a:pPr>
                <a:defRPr sz="1400" b="1" i="0" u="none" strike="noStrike" kern="1200" baseline="0">
                  <a:solidFill>
                    <a:schemeClr val="accent2">
                      <a:lumMod val="75000"/>
                    </a:schemeClr>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accent2">
                    <a:lumMod val="75000"/>
                  </a:schemeClr>
                </a:solidFill>
                <a:latin typeface="Times New Roman" panose="02020603050405020304" pitchFamily="18" charset="0"/>
                <a:ea typeface="+mn-ea"/>
                <a:cs typeface="Times New Roman" panose="02020603050405020304" pitchFamily="18" charset="0"/>
              </a:defRPr>
            </a:pPr>
            <a:endParaRPr lang="en-US"/>
          </a:p>
        </c:txPr>
        <c:crossAx val="478748768"/>
        <c:crosses val="max"/>
        <c:crossBetween val="midCat"/>
      </c:valAx>
      <c:valAx>
        <c:axId val="478748768"/>
        <c:scaling>
          <c:orientation val="minMax"/>
        </c:scaling>
        <c:delete val="1"/>
        <c:axPos val="b"/>
        <c:numFmt formatCode="h:mm;@" sourceLinked="1"/>
        <c:majorTickMark val="out"/>
        <c:minorTickMark val="none"/>
        <c:tickLblPos val="nextTo"/>
        <c:crossAx val="423267824"/>
        <c:crosses val="autoZero"/>
        <c:crossBetween val="midCat"/>
      </c:valAx>
      <c:spPr>
        <a:noFill/>
        <a:ln>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b="1">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Measured vs Modeled DIC</a:t>
            </a:r>
            <a:r>
              <a:rPr lang="en-US" baseline="0"/>
              <a:t> - November 2014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v>Measured DIC</c:v>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147482801491919"/>
                  <c:y val="-0.111527777777778"/>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'MultiBox Eulerian Inverse Model'!$D$134:$D$143</c:f>
              <c:numCache>
                <c:formatCode>0.00</c:formatCode>
                <c:ptCount val="10"/>
                <c:pt idx="0">
                  <c:v>2087.0887834821428</c:v>
                </c:pt>
                <c:pt idx="1">
                  <c:v>2036.9003634330443</c:v>
                </c:pt>
                <c:pt idx="2">
                  <c:v>1980.4795302013422</c:v>
                </c:pt>
                <c:pt idx="3">
                  <c:v>1952.6342937062936</c:v>
                </c:pt>
                <c:pt idx="4">
                  <c:v>1930.7255033557046</c:v>
                </c:pt>
                <c:pt idx="5">
                  <c:v>1971.0355704697986</c:v>
                </c:pt>
                <c:pt idx="6">
                  <c:v>2069.7959160839164</c:v>
                </c:pt>
                <c:pt idx="7">
                  <c:v>2075.2420699300701</c:v>
                </c:pt>
                <c:pt idx="8">
                  <c:v>2084.1440559440557</c:v>
                </c:pt>
                <c:pt idx="9">
                  <c:v>2095.4225454545453</c:v>
                </c:pt>
              </c:numCache>
            </c:numRef>
          </c:xVal>
          <c:yVal>
            <c:numRef>
              <c:f>'MultiBox Eulerian Inverse Model'!$C$134:$C$143</c:f>
              <c:numCache>
                <c:formatCode>0.00</c:formatCode>
                <c:ptCount val="10"/>
                <c:pt idx="0">
                  <c:v>2088.3144958450002</c:v>
                </c:pt>
                <c:pt idx="1">
                  <c:v>2024.570268126</c:v>
                </c:pt>
                <c:pt idx="2">
                  <c:v>1977.9993945269998</c:v>
                </c:pt>
                <c:pt idx="3">
                  <c:v>1952.857341531</c:v>
                </c:pt>
                <c:pt idx="4">
                  <c:v>1932.0556256689999</c:v>
                </c:pt>
                <c:pt idx="5">
                  <c:v>1949.0511719449999</c:v>
                </c:pt>
                <c:pt idx="6">
                  <c:v>2052.7652964600002</c:v>
                </c:pt>
                <c:pt idx="7">
                  <c:v>2072.8416115729997</c:v>
                </c:pt>
                <c:pt idx="8">
                  <c:v>2083.6437009699998</c:v>
                </c:pt>
                <c:pt idx="9">
                  <c:v>2089.4548006260002</c:v>
                </c:pt>
              </c:numCache>
            </c:numRef>
          </c:yVal>
          <c:smooth val="0"/>
          <c:extLst>
            <c:ext xmlns:c16="http://schemas.microsoft.com/office/drawing/2014/chart" uri="{C3380CC4-5D6E-409C-BE32-E72D297353CC}">
              <c16:uniqueId val="{00000001-3E03-5041-BAE6-03A0DBD183CB}"/>
            </c:ext>
          </c:extLst>
        </c:ser>
        <c:dLbls>
          <c:showLegendKey val="0"/>
          <c:showVal val="0"/>
          <c:showCatName val="0"/>
          <c:showSerName val="0"/>
          <c:showPercent val="0"/>
          <c:showBubbleSize val="0"/>
        </c:dLbls>
        <c:axId val="-1156548096"/>
        <c:axId val="-1156545616"/>
      </c:scatterChart>
      <c:valAx>
        <c:axId val="-1156548096"/>
        <c:scaling>
          <c:orientation val="minMax"/>
        </c:scaling>
        <c:delete val="0"/>
        <c:axPos val="b"/>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6545616"/>
        <c:crosses val="autoZero"/>
        <c:crossBetween val="midCat"/>
      </c:valAx>
      <c:valAx>
        <c:axId val="-1156545616"/>
        <c:scaling>
          <c:orientation val="minMax"/>
        </c:scaling>
        <c:delete val="0"/>
        <c:axPos val="l"/>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6548096"/>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Measured vs Modeled TA</a:t>
            </a:r>
            <a:r>
              <a:rPr lang="en-US" baseline="0"/>
              <a:t> - November 2014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v>Measured TA</c:v>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147482801491919"/>
                  <c:y val="-0.111527777777778"/>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'MultiBox Eulerian Inverse Model'!$I$134:$I$143</c:f>
              <c:numCache>
                <c:formatCode>0.00</c:formatCode>
                <c:ptCount val="10"/>
                <c:pt idx="0">
                  <c:v>2326.9968749999998</c:v>
                </c:pt>
                <c:pt idx="1">
                  <c:v>2326.3846798993563</c:v>
                </c:pt>
                <c:pt idx="2">
                  <c:v>2302.3859060402688</c:v>
                </c:pt>
                <c:pt idx="3">
                  <c:v>2298.2571188811185</c:v>
                </c:pt>
                <c:pt idx="4">
                  <c:v>2286.6261744966446</c:v>
                </c:pt>
                <c:pt idx="5">
                  <c:v>2301.4058724832212</c:v>
                </c:pt>
                <c:pt idx="6">
                  <c:v>2330.1319720279721</c:v>
                </c:pt>
                <c:pt idx="7">
                  <c:v>2332.7956363636367</c:v>
                </c:pt>
                <c:pt idx="8">
                  <c:v>2336.9149090909091</c:v>
                </c:pt>
                <c:pt idx="9">
                  <c:v>2336.4594125874128</c:v>
                </c:pt>
              </c:numCache>
            </c:numRef>
          </c:xVal>
          <c:yVal>
            <c:numRef>
              <c:f>'MultiBox Eulerian Inverse Model'!$H$134:$H$143</c:f>
              <c:numCache>
                <c:formatCode>0.00</c:formatCode>
                <c:ptCount val="10"/>
                <c:pt idx="0">
                  <c:v>2332.6996806849997</c:v>
                </c:pt>
                <c:pt idx="1">
                  <c:v>2313.21691048</c:v>
                </c:pt>
                <c:pt idx="2">
                  <c:v>2300.3298772860003</c:v>
                </c:pt>
                <c:pt idx="3">
                  <c:v>2293.3592013479997</c:v>
                </c:pt>
                <c:pt idx="4">
                  <c:v>2287.562867138</c:v>
                </c:pt>
                <c:pt idx="5">
                  <c:v>2290.7806722290002</c:v>
                </c:pt>
                <c:pt idx="6">
                  <c:v>2322.3913467709999</c:v>
                </c:pt>
                <c:pt idx="7">
                  <c:v>2328.6042238119999</c:v>
                </c:pt>
                <c:pt idx="8">
                  <c:v>2331.9602052319997</c:v>
                </c:pt>
                <c:pt idx="9">
                  <c:v>2333.772985905</c:v>
                </c:pt>
              </c:numCache>
            </c:numRef>
          </c:yVal>
          <c:smooth val="0"/>
          <c:extLst>
            <c:ext xmlns:c16="http://schemas.microsoft.com/office/drawing/2014/chart" uri="{C3380CC4-5D6E-409C-BE32-E72D297353CC}">
              <c16:uniqueId val="{00000001-38D6-1846-ABA7-1E6BD50974FA}"/>
            </c:ext>
          </c:extLst>
        </c:ser>
        <c:dLbls>
          <c:showLegendKey val="0"/>
          <c:showVal val="0"/>
          <c:showCatName val="0"/>
          <c:showSerName val="0"/>
          <c:showPercent val="0"/>
          <c:showBubbleSize val="0"/>
        </c:dLbls>
        <c:axId val="-1156522752"/>
        <c:axId val="-1156520272"/>
      </c:scatterChart>
      <c:valAx>
        <c:axId val="-1156522752"/>
        <c:scaling>
          <c:orientation val="minMax"/>
        </c:scaling>
        <c:delete val="0"/>
        <c:axPos val="b"/>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6520272"/>
        <c:crosses val="autoZero"/>
        <c:crossBetween val="midCat"/>
      </c:valAx>
      <c:valAx>
        <c:axId val="-1156520272"/>
        <c:scaling>
          <c:orientation val="minMax"/>
        </c:scaling>
        <c:delete val="0"/>
        <c:axPos val="l"/>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6522752"/>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Measured vs Modeled O2 </a:t>
            </a:r>
            <a:r>
              <a:rPr lang="en-US" baseline="0"/>
              <a:t>- November 2014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v>Measured O2</c:v>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13495185935916418"/>
                  <c:y val="-9.9009512951152595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'MultiBox Eulerian Inverse Model'!$N$134:$N$143</c:f>
              <c:numCache>
                <c:formatCode>0.00</c:formatCode>
                <c:ptCount val="10"/>
                <c:pt idx="0">
                  <c:v>206.49588448660711</c:v>
                </c:pt>
                <c:pt idx="1">
                  <c:v>198.85902991333518</c:v>
                </c:pt>
                <c:pt idx="2">
                  <c:v>237.58389261744966</c:v>
                </c:pt>
                <c:pt idx="3">
                  <c:v>254.36013986013984</c:v>
                </c:pt>
                <c:pt idx="4">
                  <c:v>261.09479865771812</c:v>
                </c:pt>
                <c:pt idx="5">
                  <c:v>226.4471476510067</c:v>
                </c:pt>
                <c:pt idx="6">
                  <c:v>168.95454545454544</c:v>
                </c:pt>
                <c:pt idx="7">
                  <c:v>172.66783216783216</c:v>
                </c:pt>
                <c:pt idx="8">
                  <c:v>170.8111888111888</c:v>
                </c:pt>
                <c:pt idx="9">
                  <c:v>160.29020979020979</c:v>
                </c:pt>
              </c:numCache>
            </c:numRef>
          </c:xVal>
          <c:yVal>
            <c:numRef>
              <c:f>'MultiBox Eulerian Inverse Model'!$M$134:$M$143</c:f>
              <c:numCache>
                <c:formatCode>0.00</c:formatCode>
                <c:ptCount val="10"/>
                <c:pt idx="0">
                  <c:v>164.50135706</c:v>
                </c:pt>
                <c:pt idx="1">
                  <c:v>207.51026865899999</c:v>
                </c:pt>
                <c:pt idx="2">
                  <c:v>235.42960295500001</c:v>
                </c:pt>
                <c:pt idx="3">
                  <c:v>249.38172902700003</c:v>
                </c:pt>
                <c:pt idx="4">
                  <c:v>259.81022633800001</c:v>
                </c:pt>
                <c:pt idx="5">
                  <c:v>249.44357491100001</c:v>
                </c:pt>
                <c:pt idx="6">
                  <c:v>182.71026080500002</c:v>
                </c:pt>
                <c:pt idx="7">
                  <c:v>171.28418030200001</c:v>
                </c:pt>
                <c:pt idx="8">
                  <c:v>165.58377432899999</c:v>
                </c:pt>
                <c:pt idx="9">
                  <c:v>162.73988036400002</c:v>
                </c:pt>
              </c:numCache>
            </c:numRef>
          </c:yVal>
          <c:smooth val="0"/>
          <c:extLst>
            <c:ext xmlns:c16="http://schemas.microsoft.com/office/drawing/2014/chart" uri="{C3380CC4-5D6E-409C-BE32-E72D297353CC}">
              <c16:uniqueId val="{00000001-F72C-AA49-A571-B7AB35E8BD92}"/>
            </c:ext>
          </c:extLst>
        </c:ser>
        <c:dLbls>
          <c:showLegendKey val="0"/>
          <c:showVal val="0"/>
          <c:showCatName val="0"/>
          <c:showSerName val="0"/>
          <c:showPercent val="0"/>
          <c:showBubbleSize val="0"/>
        </c:dLbls>
        <c:axId val="-1158517120"/>
        <c:axId val="-1158514800"/>
      </c:scatterChart>
      <c:valAx>
        <c:axId val="-1158517120"/>
        <c:scaling>
          <c:orientation val="minMax"/>
        </c:scaling>
        <c:delete val="0"/>
        <c:axPos val="b"/>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8514800"/>
        <c:crosses val="autoZero"/>
        <c:crossBetween val="midCat"/>
      </c:valAx>
      <c:valAx>
        <c:axId val="-1158514800"/>
        <c:scaling>
          <c:orientation val="minMax"/>
        </c:scaling>
        <c:delete val="0"/>
        <c:axPos val="l"/>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8517120"/>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Measured vs Modeled DIC</a:t>
            </a:r>
            <a:r>
              <a:rPr lang="en-US" baseline="0"/>
              <a:t> - May 2014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v>Measured DIC</c:v>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147482801491919"/>
                  <c:y val="-0.111527777777778"/>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'MultiBox Eulerian Inverse Model'!$D$162:$D$173</c:f>
              <c:numCache>
                <c:formatCode>0.00</c:formatCode>
                <c:ptCount val="12"/>
                <c:pt idx="0">
                  <c:v>1920.1413679093203</c:v>
                </c:pt>
                <c:pt idx="1">
                  <c:v>1889.6155647243258</c:v>
                </c:pt>
                <c:pt idx="2">
                  <c:v>1864.3610371662905</c:v>
                </c:pt>
                <c:pt idx="3">
                  <c:v>1850.0804671648878</c:v>
                </c:pt>
                <c:pt idx="4">
                  <c:v>1873.4346197845284</c:v>
                </c:pt>
                <c:pt idx="5">
                  <c:v>1898.852534697842</c:v>
                </c:pt>
                <c:pt idx="6">
                  <c:v>1961.1327501400733</c:v>
                </c:pt>
                <c:pt idx="7">
                  <c:v>1992.6781779844314</c:v>
                </c:pt>
                <c:pt idx="8">
                  <c:v>1972.8604660702304</c:v>
                </c:pt>
                <c:pt idx="9">
                  <c:v>1973.4953621595473</c:v>
                </c:pt>
                <c:pt idx="10">
                  <c:v>1990.6423571540947</c:v>
                </c:pt>
                <c:pt idx="11">
                  <c:v>1985.4468711329771</c:v>
                </c:pt>
              </c:numCache>
            </c:numRef>
          </c:xVal>
          <c:yVal>
            <c:numRef>
              <c:f>'MultiBox Eulerian Inverse Model'!$C$162:$C$173</c:f>
              <c:numCache>
                <c:formatCode>0.00</c:formatCode>
                <c:ptCount val="12"/>
                <c:pt idx="0">
                  <c:v>1915.1021609359998</c:v>
                </c:pt>
                <c:pt idx="1">
                  <c:v>1887.9372938660001</c:v>
                </c:pt>
                <c:pt idx="2">
                  <c:v>1867.5533800229998</c:v>
                </c:pt>
                <c:pt idx="3">
                  <c:v>1853.4589817139999</c:v>
                </c:pt>
                <c:pt idx="4">
                  <c:v>1883.8595721489999</c:v>
                </c:pt>
                <c:pt idx="5">
                  <c:v>1916.0142228750001</c:v>
                </c:pt>
                <c:pt idx="6">
                  <c:v>1940.806458886</c:v>
                </c:pt>
                <c:pt idx="7">
                  <c:v>1959.5441087419999</c:v>
                </c:pt>
                <c:pt idx="8">
                  <c:v>1973.6730341779999</c:v>
                </c:pt>
                <c:pt idx="9">
                  <c:v>1984.3227334310002</c:v>
                </c:pt>
                <c:pt idx="10">
                  <c:v>1989.49590631</c:v>
                </c:pt>
                <c:pt idx="11">
                  <c:v>1950.553359498</c:v>
                </c:pt>
              </c:numCache>
            </c:numRef>
          </c:yVal>
          <c:smooth val="0"/>
          <c:extLst>
            <c:ext xmlns:c16="http://schemas.microsoft.com/office/drawing/2014/chart" uri="{C3380CC4-5D6E-409C-BE32-E72D297353CC}">
              <c16:uniqueId val="{00000001-C24A-9047-96BA-9AE700CC2165}"/>
            </c:ext>
          </c:extLst>
        </c:ser>
        <c:dLbls>
          <c:showLegendKey val="0"/>
          <c:showVal val="0"/>
          <c:showCatName val="0"/>
          <c:showSerName val="0"/>
          <c:showPercent val="0"/>
          <c:showBubbleSize val="0"/>
        </c:dLbls>
        <c:axId val="-1158487008"/>
        <c:axId val="-1158484528"/>
      </c:scatterChart>
      <c:valAx>
        <c:axId val="-1158487008"/>
        <c:scaling>
          <c:orientation val="minMax"/>
        </c:scaling>
        <c:delete val="0"/>
        <c:axPos val="b"/>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8484528"/>
        <c:crosses val="autoZero"/>
        <c:crossBetween val="midCat"/>
      </c:valAx>
      <c:valAx>
        <c:axId val="-1158484528"/>
        <c:scaling>
          <c:orientation val="minMax"/>
        </c:scaling>
        <c:delete val="0"/>
        <c:axPos val="l"/>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8487008"/>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Measured vs Modeled TA</a:t>
            </a:r>
            <a:r>
              <a:rPr lang="en-US" baseline="0"/>
              <a:t> - May 2014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v>Modeled TA</c:v>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12205907277285406"/>
                  <c:y val="-0.20295437385395318"/>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'MultiBox Eulerian Inverse Model'!$I$162:$I$173</c:f>
              <c:numCache>
                <c:formatCode>0.00</c:formatCode>
                <c:ptCount val="12"/>
                <c:pt idx="0">
                  <c:v>2310.2735361689702</c:v>
                </c:pt>
                <c:pt idx="1">
                  <c:v>2303.5782077381591</c:v>
                </c:pt>
                <c:pt idx="2">
                  <c:v>2284.102739021293</c:v>
                </c:pt>
                <c:pt idx="3">
                  <c:v>2284.5362469366155</c:v>
                </c:pt>
                <c:pt idx="4">
                  <c:v>2285.2123795210841</c:v>
                </c:pt>
                <c:pt idx="5">
                  <c:v>2302.4974450653867</c:v>
                </c:pt>
                <c:pt idx="6">
                  <c:v>2308.8026894087634</c:v>
                </c:pt>
                <c:pt idx="7">
                  <c:v>2316.5786479514245</c:v>
                </c:pt>
                <c:pt idx="8">
                  <c:v>2307.8678122674205</c:v>
                </c:pt>
                <c:pt idx="9">
                  <c:v>2306.4022544971817</c:v>
                </c:pt>
                <c:pt idx="10">
                  <c:v>2311.9063539512717</c:v>
                </c:pt>
                <c:pt idx="11">
                  <c:v>2317.9585605847624</c:v>
                </c:pt>
              </c:numCache>
            </c:numRef>
          </c:xVal>
          <c:yVal>
            <c:numRef>
              <c:f>'MultiBox Eulerian Inverse Model'!$H$162:$H$173</c:f>
              <c:numCache>
                <c:formatCode>0.00</c:formatCode>
                <c:ptCount val="12"/>
                <c:pt idx="0">
                  <c:v>2299.6667094300001</c:v>
                </c:pt>
                <c:pt idx="1">
                  <c:v>2293.3216464510001</c:v>
                </c:pt>
                <c:pt idx="2">
                  <c:v>2288.5241557309996</c:v>
                </c:pt>
                <c:pt idx="3">
                  <c:v>2284.9708467979999</c:v>
                </c:pt>
                <c:pt idx="4">
                  <c:v>2291.6732953410001</c:v>
                </c:pt>
                <c:pt idx="5">
                  <c:v>2299.6620355240002</c:v>
                </c:pt>
                <c:pt idx="6">
                  <c:v>2305.8594382629999</c:v>
                </c:pt>
                <c:pt idx="7">
                  <c:v>2310.558394273</c:v>
                </c:pt>
                <c:pt idx="8">
                  <c:v>2314.1124338220002</c:v>
                </c:pt>
                <c:pt idx="9">
                  <c:v>2316.7998025890001</c:v>
                </c:pt>
                <c:pt idx="10">
                  <c:v>2317.6098456999998</c:v>
                </c:pt>
                <c:pt idx="11">
                  <c:v>2307.9499287509998</c:v>
                </c:pt>
              </c:numCache>
            </c:numRef>
          </c:yVal>
          <c:smooth val="0"/>
          <c:extLst>
            <c:ext xmlns:c16="http://schemas.microsoft.com/office/drawing/2014/chart" uri="{C3380CC4-5D6E-409C-BE32-E72D297353CC}">
              <c16:uniqueId val="{00000001-F25A-9B44-A1FD-5F54D1E4C113}"/>
            </c:ext>
          </c:extLst>
        </c:ser>
        <c:dLbls>
          <c:showLegendKey val="0"/>
          <c:showVal val="0"/>
          <c:showCatName val="0"/>
          <c:showSerName val="0"/>
          <c:showPercent val="0"/>
          <c:showBubbleSize val="0"/>
        </c:dLbls>
        <c:axId val="-1158462176"/>
        <c:axId val="-1158459696"/>
      </c:scatterChart>
      <c:valAx>
        <c:axId val="-1158462176"/>
        <c:scaling>
          <c:orientation val="minMax"/>
        </c:scaling>
        <c:delete val="0"/>
        <c:axPos val="b"/>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8459696"/>
        <c:crosses val="autoZero"/>
        <c:crossBetween val="midCat"/>
      </c:valAx>
      <c:valAx>
        <c:axId val="-1158459696"/>
        <c:scaling>
          <c:orientation val="minMax"/>
        </c:scaling>
        <c:delete val="0"/>
        <c:axPos val="l"/>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8462176"/>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Measured vs Modeled O2 </a:t>
            </a:r>
            <a:r>
              <a:rPr lang="en-US" baseline="0"/>
              <a:t>- May 2014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v>Measured O2</c:v>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147482801491919"/>
                  <c:y val="-0.111527777777778"/>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'MultiBox Eulerian Inverse Model'!$N$162:$N$173</c:f>
              <c:numCache>
                <c:formatCode>0.00</c:formatCode>
                <c:ptCount val="12"/>
                <c:pt idx="0">
                  <c:v>232.43627009210954</c:v>
                </c:pt>
                <c:pt idx="1">
                  <c:v>248.5480096318143</c:v>
                </c:pt>
                <c:pt idx="2">
                  <c:v>257.08005925408077</c:v>
                </c:pt>
                <c:pt idx="3">
                  <c:v>263.18856918985716</c:v>
                </c:pt>
                <c:pt idx="4">
                  <c:v>225.82876394935624</c:v>
                </c:pt>
                <c:pt idx="5">
                  <c:v>199.61615450667941</c:v>
                </c:pt>
                <c:pt idx="6">
                  <c:v>168.30326800329985</c:v>
                </c:pt>
                <c:pt idx="7">
                  <c:v>163.53293379445529</c:v>
                </c:pt>
                <c:pt idx="8">
                  <c:v>162.12409799416696</c:v>
                </c:pt>
                <c:pt idx="9">
                  <c:v>160.58415551980559</c:v>
                </c:pt>
                <c:pt idx="10">
                  <c:v>156.13610311966195</c:v>
                </c:pt>
                <c:pt idx="11">
                  <c:v>185.47928029238122</c:v>
                </c:pt>
              </c:numCache>
            </c:numRef>
          </c:xVal>
          <c:yVal>
            <c:numRef>
              <c:f>'MultiBox Eulerian Inverse Model'!$M$162:$M$173</c:f>
              <c:numCache>
                <c:formatCode>0.00</c:formatCode>
                <c:ptCount val="12"/>
                <c:pt idx="0">
                  <c:v>219.76143310199998</c:v>
                </c:pt>
                <c:pt idx="1">
                  <c:v>238.050654834</c:v>
                </c:pt>
                <c:pt idx="2">
                  <c:v>250.57844911399999</c:v>
                </c:pt>
                <c:pt idx="3">
                  <c:v>258.32029619899998</c:v>
                </c:pt>
                <c:pt idx="4">
                  <c:v>231.99984333</c:v>
                </c:pt>
                <c:pt idx="5">
                  <c:v>207.15273072799999</c:v>
                </c:pt>
                <c:pt idx="6">
                  <c:v>189.675445701</c:v>
                </c:pt>
                <c:pt idx="7">
                  <c:v>177.60653523300002</c:v>
                </c:pt>
                <c:pt idx="8">
                  <c:v>169.28888875799998</c:v>
                </c:pt>
                <c:pt idx="9">
                  <c:v>163.557765628</c:v>
                </c:pt>
                <c:pt idx="10">
                  <c:v>161.819371808</c:v>
                </c:pt>
                <c:pt idx="11">
                  <c:v>193.61572817299998</c:v>
                </c:pt>
              </c:numCache>
            </c:numRef>
          </c:yVal>
          <c:smooth val="0"/>
          <c:extLst>
            <c:ext xmlns:c16="http://schemas.microsoft.com/office/drawing/2014/chart" uri="{C3380CC4-5D6E-409C-BE32-E72D297353CC}">
              <c16:uniqueId val="{00000001-BE2A-D641-A41A-F06921504484}"/>
            </c:ext>
          </c:extLst>
        </c:ser>
        <c:dLbls>
          <c:showLegendKey val="0"/>
          <c:showVal val="0"/>
          <c:showCatName val="0"/>
          <c:showSerName val="0"/>
          <c:showPercent val="0"/>
          <c:showBubbleSize val="0"/>
        </c:dLbls>
        <c:axId val="-1158437040"/>
        <c:axId val="-1158434560"/>
      </c:scatterChart>
      <c:valAx>
        <c:axId val="-1158437040"/>
        <c:scaling>
          <c:orientation val="minMax"/>
        </c:scaling>
        <c:delete val="0"/>
        <c:axPos val="b"/>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8434560"/>
        <c:crosses val="autoZero"/>
        <c:crossBetween val="midCat"/>
      </c:valAx>
      <c:valAx>
        <c:axId val="-1158434560"/>
        <c:scaling>
          <c:orientation val="minMax"/>
        </c:scaling>
        <c:delete val="0"/>
        <c:axPos val="l"/>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8437040"/>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Measured vs Modeled DIC</a:t>
            </a:r>
            <a:r>
              <a:rPr lang="en-US" baseline="0"/>
              <a:t> - March 2017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v>Measured DIC</c:v>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6.7078083989501297E-2"/>
                  <c:y val="-0.123589967920677"/>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'MultiBox Eulerian Inverse Model'!$D$76:$D$86</c:f>
              <c:numCache>
                <c:formatCode>0.00</c:formatCode>
                <c:ptCount val="11"/>
                <c:pt idx="0">
                  <c:v>1891.858847056923</c:v>
                </c:pt>
                <c:pt idx="1">
                  <c:v>1865.6570321438414</c:v>
                </c:pt>
                <c:pt idx="2">
                  <c:v>1819.7049633708295</c:v>
                </c:pt>
                <c:pt idx="3">
                  <c:v>1854.9364035453768</c:v>
                </c:pt>
                <c:pt idx="4">
                  <c:v>1950.9529733972374</c:v>
                </c:pt>
                <c:pt idx="5">
                  <c:v>2015.7197224897964</c:v>
                </c:pt>
                <c:pt idx="6">
                  <c:v>2021.0051817801918</c:v>
                </c:pt>
                <c:pt idx="7">
                  <c:v>2036.4414316521506</c:v>
                </c:pt>
                <c:pt idx="8">
                  <c:v>2041.8931240345678</c:v>
                </c:pt>
                <c:pt idx="9">
                  <c:v>2010.6445183649041</c:v>
                </c:pt>
                <c:pt idx="10">
                  <c:v>1952.8528885412984</c:v>
                </c:pt>
              </c:numCache>
            </c:numRef>
          </c:xVal>
          <c:yVal>
            <c:numRef>
              <c:f>'MultiBox Eulerian Inverse Model'!$C$76:$C$86</c:f>
              <c:numCache>
                <c:formatCode>0.00</c:formatCode>
                <c:ptCount val="11"/>
                <c:pt idx="0">
                  <c:v>1876.64385294</c:v>
                </c:pt>
                <c:pt idx="1">
                  <c:v>1840.656478337</c:v>
                </c:pt>
                <c:pt idx="2">
                  <c:v>1823.588365456</c:v>
                </c:pt>
                <c:pt idx="3">
                  <c:v>1845.069313256</c:v>
                </c:pt>
                <c:pt idx="4">
                  <c:v>1918.848316052</c:v>
                </c:pt>
                <c:pt idx="5">
                  <c:v>1968.9600866959997</c:v>
                </c:pt>
                <c:pt idx="6">
                  <c:v>2001.4695095070001</c:v>
                </c:pt>
                <c:pt idx="7">
                  <c:v>2022.5069513159999</c:v>
                </c:pt>
                <c:pt idx="8">
                  <c:v>2044.9025388380003</c:v>
                </c:pt>
                <c:pt idx="9">
                  <c:v>2011.0135002829998</c:v>
                </c:pt>
                <c:pt idx="10">
                  <c:v>1932.3049881509999</c:v>
                </c:pt>
              </c:numCache>
            </c:numRef>
          </c:yVal>
          <c:smooth val="0"/>
          <c:extLst>
            <c:ext xmlns:c16="http://schemas.microsoft.com/office/drawing/2014/chart" uri="{C3380CC4-5D6E-409C-BE32-E72D297353CC}">
              <c16:uniqueId val="{00000001-1087-804A-8DD6-41F3EE59B0A7}"/>
            </c:ext>
          </c:extLst>
        </c:ser>
        <c:dLbls>
          <c:showLegendKey val="0"/>
          <c:showVal val="0"/>
          <c:showCatName val="0"/>
          <c:showSerName val="0"/>
          <c:showPercent val="0"/>
          <c:showBubbleSize val="0"/>
        </c:dLbls>
        <c:axId val="-1158531520"/>
        <c:axId val="-1158529200"/>
      </c:scatterChart>
      <c:valAx>
        <c:axId val="-1158531520"/>
        <c:scaling>
          <c:orientation val="minMax"/>
        </c:scaling>
        <c:delete val="0"/>
        <c:axPos val="b"/>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8529200"/>
        <c:crosses val="autoZero"/>
        <c:crossBetween val="midCat"/>
      </c:valAx>
      <c:valAx>
        <c:axId val="-1158529200"/>
        <c:scaling>
          <c:orientation val="minMax"/>
        </c:scaling>
        <c:delete val="0"/>
        <c:axPos val="l"/>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8531520"/>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Measured vs Modeled TA</a:t>
            </a:r>
            <a:r>
              <a:rPr lang="en-US" baseline="0"/>
              <a:t> - March 2017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v>Measured TA</c:v>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8.0227962011077736E-2"/>
                  <c:y val="-0.2273064304461942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'MultiBox Eulerian Inverse Model'!$I$76:$I$86</c:f>
              <c:numCache>
                <c:formatCode>0.00</c:formatCode>
                <c:ptCount val="11"/>
                <c:pt idx="0">
                  <c:v>2273.8965376055971</c:v>
                </c:pt>
                <c:pt idx="1">
                  <c:v>2255.2374669082956</c:v>
                </c:pt>
                <c:pt idx="2">
                  <c:v>2239.8308352786348</c:v>
                </c:pt>
                <c:pt idx="3">
                  <c:v>2263.2013553890069</c:v>
                </c:pt>
                <c:pt idx="4">
                  <c:v>2302.5183280172341</c:v>
                </c:pt>
                <c:pt idx="5">
                  <c:v>2327.8352645088721</c:v>
                </c:pt>
                <c:pt idx="6">
                  <c:v>2300.2948600083573</c:v>
                </c:pt>
                <c:pt idx="7">
                  <c:v>2317.4703689463213</c:v>
                </c:pt>
                <c:pt idx="8">
                  <c:v>2304.3622093265976</c:v>
                </c:pt>
                <c:pt idx="9">
                  <c:v>2312.9011677267604</c:v>
                </c:pt>
                <c:pt idx="10">
                  <c:v>2265.6358631668886</c:v>
                </c:pt>
              </c:numCache>
            </c:numRef>
          </c:xVal>
          <c:yVal>
            <c:numRef>
              <c:f>'MultiBox Eulerian Inverse Model'!$H$76:$H$86</c:f>
              <c:numCache>
                <c:formatCode>0.00</c:formatCode>
                <c:ptCount val="11"/>
                <c:pt idx="0">
                  <c:v>2261.6447689339998</c:v>
                </c:pt>
                <c:pt idx="1">
                  <c:v>2247.7001649939998</c:v>
                </c:pt>
                <c:pt idx="2">
                  <c:v>2240.6857923400003</c:v>
                </c:pt>
                <c:pt idx="3">
                  <c:v>2247.8062899500001</c:v>
                </c:pt>
                <c:pt idx="4">
                  <c:v>2276.6291884789998</c:v>
                </c:pt>
                <c:pt idx="5">
                  <c:v>2296.5094212419999</c:v>
                </c:pt>
                <c:pt idx="6">
                  <c:v>2309.5469410310002</c:v>
                </c:pt>
                <c:pt idx="7">
                  <c:v>2318.0830788529997</c:v>
                </c:pt>
                <c:pt idx="8">
                  <c:v>2327.3305490129997</c:v>
                </c:pt>
                <c:pt idx="9">
                  <c:v>2313.2380312119999</c:v>
                </c:pt>
                <c:pt idx="10">
                  <c:v>2283.0352107080002</c:v>
                </c:pt>
              </c:numCache>
            </c:numRef>
          </c:yVal>
          <c:smooth val="0"/>
          <c:extLst>
            <c:ext xmlns:c16="http://schemas.microsoft.com/office/drawing/2014/chart" uri="{C3380CC4-5D6E-409C-BE32-E72D297353CC}">
              <c16:uniqueId val="{00000001-897C-E142-89EA-09170F6A7015}"/>
            </c:ext>
          </c:extLst>
        </c:ser>
        <c:dLbls>
          <c:showLegendKey val="0"/>
          <c:showVal val="0"/>
          <c:showCatName val="0"/>
          <c:showSerName val="0"/>
          <c:showPercent val="0"/>
          <c:showBubbleSize val="0"/>
        </c:dLbls>
        <c:axId val="-1203011984"/>
        <c:axId val="-1203009504"/>
      </c:scatterChart>
      <c:valAx>
        <c:axId val="-1203011984"/>
        <c:scaling>
          <c:orientation val="minMax"/>
        </c:scaling>
        <c:delete val="0"/>
        <c:axPos val="b"/>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3009504"/>
        <c:crosses val="autoZero"/>
        <c:crossBetween val="midCat"/>
      </c:valAx>
      <c:valAx>
        <c:axId val="-1203009504"/>
        <c:scaling>
          <c:orientation val="minMax"/>
        </c:scaling>
        <c:delete val="0"/>
        <c:axPos val="l"/>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3011984"/>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Measured vs Modeled O2 </a:t>
            </a:r>
            <a:r>
              <a:rPr lang="en-US" baseline="0"/>
              <a:t>- March 2017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v>Measured O2</c:v>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6.3938035813408442E-2"/>
                  <c:y val="-9.7638888888888886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'MultiBox Eulerian Inverse Model'!$N$76:$N$86</c:f>
              <c:numCache>
                <c:formatCode>0.00</c:formatCode>
                <c:ptCount val="11"/>
                <c:pt idx="0">
                  <c:v>246.97147027120369</c:v>
                </c:pt>
                <c:pt idx="1">
                  <c:v>260.22615100673943</c:v>
                </c:pt>
                <c:pt idx="2">
                  <c:v>271.094701638505</c:v>
                </c:pt>
                <c:pt idx="3">
                  <c:v>239.88415763908597</c:v>
                </c:pt>
                <c:pt idx="4">
                  <c:v>193.05723017317678</c:v>
                </c:pt>
                <c:pt idx="5">
                  <c:v>157.03591930822896</c:v>
                </c:pt>
                <c:pt idx="6">
                  <c:v>153.21755119097367</c:v>
                </c:pt>
                <c:pt idx="7">
                  <c:v>148.36055433892241</c:v>
                </c:pt>
                <c:pt idx="8">
                  <c:v>146.97165282010604</c:v>
                </c:pt>
                <c:pt idx="9">
                  <c:v>161.56617350276275</c:v>
                </c:pt>
                <c:pt idx="10">
                  <c:v>209.6221809690536</c:v>
                </c:pt>
              </c:numCache>
            </c:numRef>
          </c:xVal>
          <c:yVal>
            <c:numRef>
              <c:f>'MultiBox Eulerian Inverse Model'!$M$76:$M$86</c:f>
              <c:numCache>
                <c:formatCode>0.00</c:formatCode>
                <c:ptCount val="11"/>
                <c:pt idx="0">
                  <c:v>254.574090746</c:v>
                </c:pt>
                <c:pt idx="1">
                  <c:v>266.71348900300001</c:v>
                </c:pt>
                <c:pt idx="2">
                  <c:v>267.05339397699998</c:v>
                </c:pt>
                <c:pt idx="3">
                  <c:v>242.18622407300001</c:v>
                </c:pt>
                <c:pt idx="4">
                  <c:v>191.80719196300001</c:v>
                </c:pt>
                <c:pt idx="5">
                  <c:v>167.44014741799998</c:v>
                </c:pt>
                <c:pt idx="6">
                  <c:v>156.165438139</c:v>
                </c:pt>
                <c:pt idx="7">
                  <c:v>150.95603801300001</c:v>
                </c:pt>
                <c:pt idx="8">
                  <c:v>147.437172672</c:v>
                </c:pt>
                <c:pt idx="9">
                  <c:v>176.345187157</c:v>
                </c:pt>
                <c:pt idx="10">
                  <c:v>227.957978368</c:v>
                </c:pt>
              </c:numCache>
            </c:numRef>
          </c:yVal>
          <c:smooth val="0"/>
          <c:extLst>
            <c:ext xmlns:c16="http://schemas.microsoft.com/office/drawing/2014/chart" uri="{C3380CC4-5D6E-409C-BE32-E72D297353CC}">
              <c16:uniqueId val="{00000001-9F07-F045-894D-DD0052862A97}"/>
            </c:ext>
          </c:extLst>
        </c:ser>
        <c:dLbls>
          <c:showLegendKey val="0"/>
          <c:showVal val="0"/>
          <c:showCatName val="0"/>
          <c:showSerName val="0"/>
          <c:showPercent val="0"/>
          <c:showBubbleSize val="0"/>
        </c:dLbls>
        <c:axId val="-1202986928"/>
        <c:axId val="-1202984448"/>
      </c:scatterChart>
      <c:valAx>
        <c:axId val="-1202986928"/>
        <c:scaling>
          <c:orientation val="minMax"/>
        </c:scaling>
        <c:delete val="0"/>
        <c:axPos val="b"/>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2984448"/>
        <c:crosses val="autoZero"/>
        <c:crossBetween val="midCat"/>
      </c:valAx>
      <c:valAx>
        <c:axId val="-1202984448"/>
        <c:scaling>
          <c:orientation val="minMax"/>
        </c:scaling>
        <c:delete val="0"/>
        <c:axPos val="l"/>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2986928"/>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r>
              <a:rPr lang="en-US"/>
              <a:t>May 2014</a:t>
            </a:r>
          </a:p>
        </c:rich>
      </c:tx>
      <c:overlay val="0"/>
      <c:spPr>
        <a:noFill/>
        <a:ln>
          <a:noFill/>
        </a:ln>
        <a:effectLst/>
      </c:spPr>
      <c:txPr>
        <a:bodyPr rot="0" spcFirstLastPara="1" vertOverflow="ellipsis" vert="horz" wrap="square" anchor="ctr" anchorCtr="1"/>
        <a:lstStyle/>
        <a:p>
          <a:pPr>
            <a:defRPr sz="168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errBars>
            <c:errDir val="y"/>
            <c:errBarType val="both"/>
            <c:errValType val="cust"/>
            <c:noEndCap val="0"/>
            <c:plus>
              <c:numRef>
                <c:f>'Missing O2 Flux if Redfield'!$AG$3:$AG$14</c:f>
                <c:numCache>
                  <c:formatCode>General</c:formatCode>
                  <c:ptCount val="12"/>
                  <c:pt idx="0">
                    <c:v>57235.822722550816</c:v>
                  </c:pt>
                  <c:pt idx="1">
                    <c:v>110996.60858489657</c:v>
                  </c:pt>
                  <c:pt idx="2">
                    <c:v>162800.26527398464</c:v>
                  </c:pt>
                  <c:pt idx="3">
                    <c:v>213611.79255776299</c:v>
                  </c:pt>
                  <c:pt idx="4">
                    <c:v>272426.86359334755</c:v>
                  </c:pt>
                  <c:pt idx="5">
                    <c:v>339048.478763644</c:v>
                  </c:pt>
                  <c:pt idx="6">
                    <c:v>417954.61702369316</c:v>
                  </c:pt>
                  <c:pt idx="7">
                    <c:v>499124.78310232097</c:v>
                  </c:pt>
                  <c:pt idx="8">
                    <c:v>581052.13649294164</c:v>
                  </c:pt>
                  <c:pt idx="9">
                    <c:v>664048.20866811974</c:v>
                  </c:pt>
                  <c:pt idx="10">
                    <c:v>749378.70269693085</c:v>
                  </c:pt>
                  <c:pt idx="11">
                    <c:v>821310.2258753893</c:v>
                  </c:pt>
                </c:numCache>
              </c:numRef>
            </c:plus>
            <c:minus>
              <c:numRef>
                <c:f>'Missing O2 Flux if Redfield'!$AG$3:$AG$14</c:f>
                <c:numCache>
                  <c:formatCode>General</c:formatCode>
                  <c:ptCount val="12"/>
                  <c:pt idx="0">
                    <c:v>57235.822722550816</c:v>
                  </c:pt>
                  <c:pt idx="1">
                    <c:v>110996.60858489657</c:v>
                  </c:pt>
                  <c:pt idx="2">
                    <c:v>162800.26527398464</c:v>
                  </c:pt>
                  <c:pt idx="3">
                    <c:v>213611.79255776299</c:v>
                  </c:pt>
                  <c:pt idx="4">
                    <c:v>272426.86359334755</c:v>
                  </c:pt>
                  <c:pt idx="5">
                    <c:v>339048.478763644</c:v>
                  </c:pt>
                  <c:pt idx="6">
                    <c:v>417954.61702369316</c:v>
                  </c:pt>
                  <c:pt idx="7">
                    <c:v>499124.78310232097</c:v>
                  </c:pt>
                  <c:pt idx="8">
                    <c:v>581052.13649294164</c:v>
                  </c:pt>
                  <c:pt idx="9">
                    <c:v>664048.20866811974</c:v>
                  </c:pt>
                  <c:pt idx="10">
                    <c:v>749378.70269693085</c:v>
                  </c:pt>
                  <c:pt idx="11">
                    <c:v>821310.2258753893</c:v>
                  </c:pt>
                </c:numCache>
              </c:numRef>
            </c:minus>
            <c:spPr>
              <a:noFill/>
              <a:ln w="9525" cap="flat" cmpd="sng" algn="ctr">
                <a:solidFill>
                  <a:schemeClr val="tx1">
                    <a:lumMod val="65000"/>
                    <a:lumOff val="35000"/>
                  </a:schemeClr>
                </a:solidFill>
                <a:round/>
              </a:ln>
              <a:effectLst/>
            </c:spPr>
          </c:errBars>
          <c:xVal>
            <c:numRef>
              <c:f>'Missing O2 Flux if Redfield'!$E$3:$E$14</c:f>
              <c:numCache>
                <c:formatCode>h:mm;@</c:formatCode>
                <c:ptCount val="12"/>
                <c:pt idx="0">
                  <c:v>0.45833333333333331</c:v>
                </c:pt>
                <c:pt idx="1">
                  <c:v>0.54166666666666663</c:v>
                </c:pt>
                <c:pt idx="2">
                  <c:v>0.625</c:v>
                </c:pt>
                <c:pt idx="3">
                  <c:v>0.70833333333333337</c:v>
                </c:pt>
                <c:pt idx="4">
                  <c:v>0.79166666666666663</c:v>
                </c:pt>
                <c:pt idx="5">
                  <c:v>0.875</c:v>
                </c:pt>
                <c:pt idx="6">
                  <c:v>0.95833333333333337</c:v>
                </c:pt>
                <c:pt idx="7">
                  <c:v>1.0416666666666667</c:v>
                </c:pt>
                <c:pt idx="8">
                  <c:v>1.125</c:v>
                </c:pt>
                <c:pt idx="9">
                  <c:v>1.2083333333333333</c:v>
                </c:pt>
                <c:pt idx="10">
                  <c:v>1.2916666666666667</c:v>
                </c:pt>
                <c:pt idx="11">
                  <c:v>1.375</c:v>
                </c:pt>
              </c:numCache>
            </c:numRef>
          </c:xVal>
          <c:yVal>
            <c:numRef>
              <c:f>'Missing O2 Flux if Redfield'!$AA$3:$AA$14</c:f>
              <c:numCache>
                <c:formatCode>0.00</c:formatCode>
                <c:ptCount val="12"/>
                <c:pt idx="0">
                  <c:v>80613.448690893638</c:v>
                </c:pt>
                <c:pt idx="1">
                  <c:v>142124.34205475452</c:v>
                </c:pt>
                <c:pt idx="2">
                  <c:v>211761.8903123755</c:v>
                </c:pt>
                <c:pt idx="3">
                  <c:v>256930.98324315448</c:v>
                </c:pt>
                <c:pt idx="4">
                  <c:v>316868.45162162342</c:v>
                </c:pt>
                <c:pt idx="5">
                  <c:v>194852.67386467158</c:v>
                </c:pt>
                <c:pt idx="6">
                  <c:v>91021.711322556541</c:v>
                </c:pt>
                <c:pt idx="7">
                  <c:v>205327.44155356768</c:v>
                </c:pt>
                <c:pt idx="8">
                  <c:v>236932.0425166639</c:v>
                </c:pt>
                <c:pt idx="9">
                  <c:v>197978.25969243312</c:v>
                </c:pt>
                <c:pt idx="10">
                  <c:v>139537.84850143368</c:v>
                </c:pt>
                <c:pt idx="11">
                  <c:v>211623.42326162558</c:v>
                </c:pt>
              </c:numCache>
            </c:numRef>
          </c:yVal>
          <c:smooth val="0"/>
          <c:extLst>
            <c:ext xmlns:c16="http://schemas.microsoft.com/office/drawing/2014/chart" uri="{C3380CC4-5D6E-409C-BE32-E72D297353CC}">
              <c16:uniqueId val="{00000000-F357-3F40-A3B6-1B04401B592F}"/>
            </c:ext>
          </c:extLst>
        </c:ser>
        <c:dLbls>
          <c:showLegendKey val="0"/>
          <c:showVal val="0"/>
          <c:showCatName val="0"/>
          <c:showSerName val="0"/>
          <c:showPercent val="0"/>
          <c:showBubbleSize val="0"/>
        </c:dLbls>
        <c:axId val="1012903119"/>
        <c:axId val="982429023"/>
      </c:scatterChart>
      <c:valAx>
        <c:axId val="1012903119"/>
        <c:scaling>
          <c:orientation val="minMax"/>
        </c:scaling>
        <c:delete val="0"/>
        <c:axPos val="b"/>
        <c:numFmt formatCode="h:mm;@" sourceLinked="1"/>
        <c:majorTickMark val="cross"/>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982429023"/>
        <c:crosses val="autoZero"/>
        <c:crossBetween val="midCat"/>
        <c:majorUnit val="0.16666666700000002"/>
      </c:valAx>
      <c:valAx>
        <c:axId val="982429023"/>
        <c:scaling>
          <c:orientation val="minMax"/>
        </c:scaling>
        <c:delete val="0"/>
        <c:axPos val="l"/>
        <c:title>
          <c:tx>
            <c:rich>
              <a:bodyPr rot="-54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a:t>Integrated Bubbles * m-2</a:t>
                </a:r>
              </a:p>
            </c:rich>
          </c:tx>
          <c:overlay val="0"/>
          <c:spPr>
            <a:noFill/>
            <a:ln>
              <a:noFill/>
            </a:ln>
            <a:effectLst/>
          </c:spPr>
          <c:txPr>
            <a:bodyPr rot="-54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General"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012903119"/>
        <c:crosses val="autoZero"/>
        <c:crossBetween val="midCat"/>
      </c:valAx>
      <c:spPr>
        <a:noFill/>
        <a:ln>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b="1">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25400" cap="rnd">
              <a:noFill/>
              <a:round/>
            </a:ln>
            <a:effectLst/>
          </c:spPr>
          <c:marker>
            <c:symbol val="circle"/>
            <c:size val="8"/>
            <c:spPr>
              <a:solidFill>
                <a:schemeClr val="accent6">
                  <a:lumMod val="75000"/>
                </a:schemeClr>
              </a:solidFill>
              <a:ln w="9525">
                <a:noFill/>
              </a:ln>
              <a:effectLst/>
            </c:spPr>
          </c:marker>
          <c:errBars>
            <c:errDir val="y"/>
            <c:errBarType val="both"/>
            <c:errValType val="fixedVal"/>
            <c:noEndCap val="0"/>
            <c:val val="4"/>
            <c:spPr>
              <a:noFill/>
              <a:ln w="9525" cap="flat" cmpd="sng" algn="ctr">
                <a:solidFill>
                  <a:schemeClr val="tx1">
                    <a:lumMod val="65000"/>
                    <a:lumOff val="35000"/>
                  </a:schemeClr>
                </a:solidFill>
                <a:round/>
              </a:ln>
              <a:effectLst/>
            </c:spPr>
          </c:errBars>
          <c:xVal>
            <c:numRef>
              <c:f>'All Experimental Diel Data'!$A$19:$A$31</c:f>
              <c:numCache>
                <c:formatCode>h:mm;@</c:formatCode>
                <c:ptCount val="13"/>
                <c:pt idx="0">
                  <c:v>42323.25</c:v>
                </c:pt>
                <c:pt idx="1">
                  <c:v>42323.333333333336</c:v>
                </c:pt>
                <c:pt idx="2">
                  <c:v>42323.416666666664</c:v>
                </c:pt>
                <c:pt idx="3">
                  <c:v>42323.5</c:v>
                </c:pt>
                <c:pt idx="4">
                  <c:v>42323.666666666664</c:v>
                </c:pt>
                <c:pt idx="5">
                  <c:v>42323.75</c:v>
                </c:pt>
                <c:pt idx="6">
                  <c:v>42323.916666666664</c:v>
                </c:pt>
                <c:pt idx="7">
                  <c:v>42324</c:v>
                </c:pt>
                <c:pt idx="8">
                  <c:v>42324.083333333336</c:v>
                </c:pt>
                <c:pt idx="9">
                  <c:v>42324.166666666664</c:v>
                </c:pt>
                <c:pt idx="10">
                  <c:v>42324.25</c:v>
                </c:pt>
                <c:pt idx="11">
                  <c:v>42324.333333333336</c:v>
                </c:pt>
                <c:pt idx="12">
                  <c:v>42324.416666666664</c:v>
                </c:pt>
              </c:numCache>
            </c:numRef>
          </c:xVal>
          <c:yVal>
            <c:numRef>
              <c:f>'All Experimental Diel Data'!$P$19:$P$31</c:f>
              <c:numCache>
                <c:formatCode>0.00</c:formatCode>
                <c:ptCount val="13"/>
                <c:pt idx="0">
                  <c:v>206.49588448660711</c:v>
                </c:pt>
                <c:pt idx="1">
                  <c:v>198.85902991333518</c:v>
                </c:pt>
                <c:pt idx="2">
                  <c:v>237.58389261744966</c:v>
                </c:pt>
                <c:pt idx="3">
                  <c:v>254.36013986013984</c:v>
                </c:pt>
                <c:pt idx="4">
                  <c:v>261.09479865771812</c:v>
                </c:pt>
                <c:pt idx="5">
                  <c:v>226.4471476510067</c:v>
                </c:pt>
                <c:pt idx="6">
                  <c:v>168.95454545454544</c:v>
                </c:pt>
                <c:pt idx="7">
                  <c:v>172.66783216783216</c:v>
                </c:pt>
                <c:pt idx="8">
                  <c:v>170.8111888111888</c:v>
                </c:pt>
                <c:pt idx="9">
                  <c:v>160.29020979020979</c:v>
                </c:pt>
                <c:pt idx="10">
                  <c:v>176.73999720201454</c:v>
                </c:pt>
                <c:pt idx="11">
                  <c:v>195.62115277000558</c:v>
                </c:pt>
                <c:pt idx="12">
                  <c:v>235.24062674874088</c:v>
                </c:pt>
              </c:numCache>
            </c:numRef>
          </c:yVal>
          <c:smooth val="0"/>
          <c:extLst>
            <c:ext xmlns:c16="http://schemas.microsoft.com/office/drawing/2014/chart" uri="{C3380CC4-5D6E-409C-BE32-E72D297353CC}">
              <c16:uniqueId val="{00000000-BBCA-DB42-9896-FA656C29657D}"/>
            </c:ext>
          </c:extLst>
        </c:ser>
        <c:dLbls>
          <c:showLegendKey val="0"/>
          <c:showVal val="0"/>
          <c:showCatName val="0"/>
          <c:showSerName val="0"/>
          <c:showPercent val="0"/>
          <c:showBubbleSize val="0"/>
        </c:dLbls>
        <c:axId val="424093136"/>
        <c:axId val="424196800"/>
      </c:scatterChart>
      <c:scatterChart>
        <c:scatterStyle val="lineMarker"/>
        <c:varyColors val="0"/>
        <c:ser>
          <c:idx val="1"/>
          <c:order val="1"/>
          <c:spPr>
            <a:ln w="25400" cap="rnd">
              <a:noFill/>
              <a:round/>
            </a:ln>
            <a:effectLst/>
          </c:spPr>
          <c:marker>
            <c:symbol val="circle"/>
            <c:size val="8"/>
            <c:spPr>
              <a:solidFill>
                <a:schemeClr val="accent2">
                  <a:lumMod val="75000"/>
                </a:schemeClr>
              </a:solidFill>
              <a:ln w="9525">
                <a:solidFill>
                  <a:schemeClr val="accent2"/>
                </a:solidFill>
              </a:ln>
              <a:effectLst/>
            </c:spPr>
          </c:marker>
          <c:errBars>
            <c:errDir val="y"/>
            <c:errBarType val="both"/>
            <c:errValType val="fixedVal"/>
            <c:noEndCap val="0"/>
            <c:val val="3.7"/>
            <c:spPr>
              <a:noFill/>
              <a:ln w="9525" cap="flat" cmpd="sng" algn="ctr">
                <a:solidFill>
                  <a:schemeClr val="tx1">
                    <a:lumMod val="65000"/>
                    <a:lumOff val="35000"/>
                  </a:schemeClr>
                </a:solidFill>
                <a:round/>
              </a:ln>
              <a:effectLst/>
            </c:spPr>
          </c:errBars>
          <c:xVal>
            <c:numRef>
              <c:f>'All Experimental Diel Data'!$A$19:$A$31</c:f>
              <c:numCache>
                <c:formatCode>h:mm;@</c:formatCode>
                <c:ptCount val="13"/>
                <c:pt idx="0">
                  <c:v>42323.25</c:v>
                </c:pt>
                <c:pt idx="1">
                  <c:v>42323.333333333336</c:v>
                </c:pt>
                <c:pt idx="2">
                  <c:v>42323.416666666664</c:v>
                </c:pt>
                <c:pt idx="3">
                  <c:v>42323.5</c:v>
                </c:pt>
                <c:pt idx="4">
                  <c:v>42323.666666666664</c:v>
                </c:pt>
                <c:pt idx="5">
                  <c:v>42323.75</c:v>
                </c:pt>
                <c:pt idx="6">
                  <c:v>42323.916666666664</c:v>
                </c:pt>
                <c:pt idx="7">
                  <c:v>42324</c:v>
                </c:pt>
                <c:pt idx="8">
                  <c:v>42324.083333333336</c:v>
                </c:pt>
                <c:pt idx="9">
                  <c:v>42324.166666666664</c:v>
                </c:pt>
                <c:pt idx="10">
                  <c:v>42324.25</c:v>
                </c:pt>
                <c:pt idx="11">
                  <c:v>42324.333333333336</c:v>
                </c:pt>
                <c:pt idx="12">
                  <c:v>42324.416666666664</c:v>
                </c:pt>
              </c:numCache>
            </c:numRef>
          </c:xVal>
          <c:yVal>
            <c:numRef>
              <c:f>'All Experimental Diel Data'!$H$19:$H$31</c:f>
              <c:numCache>
                <c:formatCode>0.00</c:formatCode>
                <c:ptCount val="13"/>
                <c:pt idx="0">
                  <c:v>2087.0887834821428</c:v>
                </c:pt>
                <c:pt idx="1">
                  <c:v>2036.9003634330443</c:v>
                </c:pt>
                <c:pt idx="2">
                  <c:v>1980.4795302013422</c:v>
                </c:pt>
                <c:pt idx="3">
                  <c:v>1952.6342937062936</c:v>
                </c:pt>
                <c:pt idx="4">
                  <c:v>1930.7255033557046</c:v>
                </c:pt>
                <c:pt idx="5">
                  <c:v>1971.0355704697986</c:v>
                </c:pt>
                <c:pt idx="6">
                  <c:v>2069.7959160839164</c:v>
                </c:pt>
                <c:pt idx="7">
                  <c:v>2075.2420699300701</c:v>
                </c:pt>
                <c:pt idx="8">
                  <c:v>2084.1440559440557</c:v>
                </c:pt>
                <c:pt idx="9">
                  <c:v>2095.4225454545453</c:v>
                </c:pt>
                <c:pt idx="10">
                  <c:v>2072.8512590934529</c:v>
                </c:pt>
                <c:pt idx="11">
                  <c:v>2045.1176273083379</c:v>
                </c:pt>
                <c:pt idx="12">
                  <c:v>1979.6563514269726</c:v>
                </c:pt>
              </c:numCache>
            </c:numRef>
          </c:yVal>
          <c:smooth val="0"/>
          <c:extLst>
            <c:ext xmlns:c16="http://schemas.microsoft.com/office/drawing/2014/chart" uri="{C3380CC4-5D6E-409C-BE32-E72D297353CC}">
              <c16:uniqueId val="{00000001-BBCA-DB42-9896-FA656C29657D}"/>
            </c:ext>
          </c:extLst>
        </c:ser>
        <c:dLbls>
          <c:showLegendKey val="0"/>
          <c:showVal val="0"/>
          <c:showCatName val="0"/>
          <c:showSerName val="0"/>
          <c:showPercent val="0"/>
          <c:showBubbleSize val="0"/>
        </c:dLbls>
        <c:axId val="478748768"/>
        <c:axId val="423267824"/>
      </c:scatterChart>
      <c:valAx>
        <c:axId val="424093136"/>
        <c:scaling>
          <c:orientation val="minMax"/>
          <c:max val="42324.5"/>
          <c:min val="42323.333333333299"/>
        </c:scaling>
        <c:delete val="0"/>
        <c:axPos val="b"/>
        <c:numFmt formatCode="h:mm;@" sourceLinked="1"/>
        <c:majorTickMark val="cross"/>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424196800"/>
        <c:crosses val="autoZero"/>
        <c:crossBetween val="midCat"/>
        <c:majorUnit val="0.16666666666667002"/>
      </c:valAx>
      <c:valAx>
        <c:axId val="424196800"/>
        <c:scaling>
          <c:orientation val="minMax"/>
          <c:min val="140"/>
        </c:scaling>
        <c:delete val="0"/>
        <c:axPos val="l"/>
        <c:title>
          <c:tx>
            <c:rich>
              <a:bodyPr rot="-5400000" spcFirstLastPara="1" vertOverflow="ellipsis" vert="horz" wrap="square" anchor="ctr" anchorCtr="1"/>
              <a:lstStyle/>
              <a:p>
                <a:pPr>
                  <a:defRPr sz="1400" b="1" i="0" u="none" strike="noStrike" kern="1200" baseline="0">
                    <a:solidFill>
                      <a:schemeClr val="accent6">
                        <a:lumMod val="75000"/>
                      </a:schemeClr>
                    </a:solidFill>
                    <a:latin typeface="Times New Roman" panose="02020603050405020304" pitchFamily="18" charset="0"/>
                    <a:ea typeface="+mn-ea"/>
                    <a:cs typeface="Times New Roman" panose="02020603050405020304" pitchFamily="18" charset="0"/>
                  </a:defRPr>
                </a:pPr>
                <a:r>
                  <a:rPr lang="en-US">
                    <a:solidFill>
                      <a:schemeClr val="accent6">
                        <a:lumMod val="75000"/>
                      </a:schemeClr>
                    </a:solidFill>
                  </a:rPr>
                  <a:t>nO2</a:t>
                </a:r>
              </a:p>
              <a:p>
                <a:pPr>
                  <a:defRPr>
                    <a:solidFill>
                      <a:schemeClr val="accent6">
                        <a:lumMod val="75000"/>
                      </a:schemeClr>
                    </a:solidFill>
                  </a:defRPr>
                </a:pPr>
                <a:r>
                  <a:rPr lang="en-US">
                    <a:solidFill>
                      <a:schemeClr val="accent6">
                        <a:lumMod val="75000"/>
                      </a:schemeClr>
                    </a:solidFill>
                  </a:rPr>
                  <a:t>(µmol*kg-1)</a:t>
                </a:r>
              </a:p>
            </c:rich>
          </c:tx>
          <c:overlay val="0"/>
          <c:spPr>
            <a:noFill/>
            <a:ln>
              <a:noFill/>
            </a:ln>
            <a:effectLst/>
          </c:spPr>
          <c:txPr>
            <a:bodyPr rot="-5400000" spcFirstLastPara="1" vertOverflow="ellipsis" vert="horz" wrap="square" anchor="ctr" anchorCtr="1"/>
            <a:lstStyle/>
            <a:p>
              <a:pPr>
                <a:defRPr sz="1400" b="1" i="0" u="none" strike="noStrike" kern="1200" baseline="0">
                  <a:solidFill>
                    <a:schemeClr val="accent6">
                      <a:lumMod val="75000"/>
                    </a:schemeClr>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accent6">
                    <a:lumMod val="75000"/>
                  </a:schemeClr>
                </a:solidFill>
                <a:latin typeface="Times New Roman" panose="02020603050405020304" pitchFamily="18" charset="0"/>
                <a:ea typeface="+mn-ea"/>
                <a:cs typeface="Times New Roman" panose="02020603050405020304" pitchFamily="18" charset="0"/>
              </a:defRPr>
            </a:pPr>
            <a:endParaRPr lang="en-US"/>
          </a:p>
        </c:txPr>
        <c:crossAx val="424093136"/>
        <c:crosses val="autoZero"/>
        <c:crossBetween val="midCat"/>
      </c:valAx>
      <c:valAx>
        <c:axId val="423267824"/>
        <c:scaling>
          <c:orientation val="minMax"/>
          <c:max val="2100"/>
          <c:min val="1800"/>
        </c:scaling>
        <c:delete val="0"/>
        <c:axPos val="r"/>
        <c:title>
          <c:tx>
            <c:rich>
              <a:bodyPr rot="5400000" spcFirstLastPara="1" vertOverflow="ellipsis" wrap="square" anchor="ctr" anchorCtr="1"/>
              <a:lstStyle/>
              <a:p>
                <a:pPr>
                  <a:defRPr sz="1400" b="1" i="0" u="none" strike="noStrike" kern="1200" baseline="0">
                    <a:solidFill>
                      <a:schemeClr val="accent2">
                        <a:lumMod val="75000"/>
                      </a:schemeClr>
                    </a:solidFill>
                    <a:latin typeface="Times New Roman" panose="02020603050405020304" pitchFamily="18" charset="0"/>
                    <a:ea typeface="+mn-ea"/>
                    <a:cs typeface="Times New Roman" panose="02020603050405020304" pitchFamily="18" charset="0"/>
                  </a:defRPr>
                </a:pPr>
                <a:r>
                  <a:rPr lang="en-US">
                    <a:solidFill>
                      <a:schemeClr val="accent2">
                        <a:lumMod val="75000"/>
                      </a:schemeClr>
                    </a:solidFill>
                  </a:rPr>
                  <a:t>nDIC</a:t>
                </a:r>
              </a:p>
              <a:p>
                <a:pPr>
                  <a:defRPr>
                    <a:solidFill>
                      <a:schemeClr val="accent2">
                        <a:lumMod val="75000"/>
                      </a:schemeClr>
                    </a:solidFill>
                  </a:defRPr>
                </a:pPr>
                <a:r>
                  <a:rPr lang="en-US">
                    <a:solidFill>
                      <a:schemeClr val="accent2">
                        <a:lumMod val="75000"/>
                      </a:schemeClr>
                    </a:solidFill>
                  </a:rPr>
                  <a:t>(µmol*kg-1)</a:t>
                </a:r>
              </a:p>
            </c:rich>
          </c:tx>
          <c:overlay val="0"/>
          <c:spPr>
            <a:noFill/>
            <a:ln>
              <a:noFill/>
            </a:ln>
            <a:effectLst/>
          </c:spPr>
          <c:txPr>
            <a:bodyPr rot="5400000" spcFirstLastPara="1" vertOverflow="ellipsis" wrap="square" anchor="ctr" anchorCtr="1"/>
            <a:lstStyle/>
            <a:p>
              <a:pPr>
                <a:defRPr sz="1400" b="1" i="0" u="none" strike="noStrike" kern="1200" baseline="0">
                  <a:solidFill>
                    <a:schemeClr val="accent2">
                      <a:lumMod val="75000"/>
                    </a:schemeClr>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accent2">
                    <a:lumMod val="75000"/>
                  </a:schemeClr>
                </a:solidFill>
                <a:latin typeface="Times New Roman" panose="02020603050405020304" pitchFamily="18" charset="0"/>
                <a:ea typeface="+mn-ea"/>
                <a:cs typeface="Times New Roman" panose="02020603050405020304" pitchFamily="18" charset="0"/>
              </a:defRPr>
            </a:pPr>
            <a:endParaRPr lang="en-US"/>
          </a:p>
        </c:txPr>
        <c:crossAx val="478748768"/>
        <c:crosses val="max"/>
        <c:crossBetween val="midCat"/>
      </c:valAx>
      <c:valAx>
        <c:axId val="478748768"/>
        <c:scaling>
          <c:orientation val="minMax"/>
        </c:scaling>
        <c:delete val="1"/>
        <c:axPos val="b"/>
        <c:numFmt formatCode="h:mm;@" sourceLinked="1"/>
        <c:majorTickMark val="out"/>
        <c:minorTickMark val="none"/>
        <c:tickLblPos val="nextTo"/>
        <c:crossAx val="423267824"/>
        <c:crosses val="autoZero"/>
        <c:crossBetween val="midCat"/>
      </c:valAx>
      <c:spPr>
        <a:noFill/>
        <a:ln>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b="1">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r>
              <a:rPr lang="en-US"/>
              <a:t>November 2014</a:t>
            </a:r>
          </a:p>
        </c:rich>
      </c:tx>
      <c:overlay val="0"/>
      <c:spPr>
        <a:noFill/>
        <a:ln>
          <a:noFill/>
        </a:ln>
        <a:effectLst/>
      </c:spPr>
      <c:txPr>
        <a:bodyPr rot="0" spcFirstLastPara="1" vertOverflow="ellipsis" vert="horz" wrap="square" anchor="ctr" anchorCtr="1"/>
        <a:lstStyle/>
        <a:p>
          <a:pPr>
            <a:defRPr sz="168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errBars>
            <c:errDir val="y"/>
            <c:errBarType val="both"/>
            <c:errValType val="cust"/>
            <c:noEndCap val="0"/>
            <c:plus>
              <c:numRef>
                <c:f>'Missing O2 Flux if Redfield'!$AG$19:$AG$28</c:f>
                <c:numCache>
                  <c:formatCode>General</c:formatCode>
                  <c:ptCount val="10"/>
                  <c:pt idx="0">
                    <c:v>55193.148137698809</c:v>
                  </c:pt>
                  <c:pt idx="1">
                    <c:v>112651.79662053933</c:v>
                  </c:pt>
                  <c:pt idx="2">
                    <c:v>160722.7077601463</c:v>
                  </c:pt>
                  <c:pt idx="3">
                    <c:v>202062.33764905241</c:v>
                  </c:pt>
                  <c:pt idx="4">
                    <c:v>245799.66700666957</c:v>
                  </c:pt>
                  <c:pt idx="5">
                    <c:v>292148.66896402306</c:v>
                  </c:pt>
                  <c:pt idx="6">
                    <c:v>360347.92046305095</c:v>
                  </c:pt>
                  <c:pt idx="7">
                    <c:v>426752.24070896464</c:v>
                  </c:pt>
                  <c:pt idx="8">
                    <c:v>493880.87773014838</c:v>
                  </c:pt>
                  <c:pt idx="9">
                    <c:v>565531.12904859753</c:v>
                  </c:pt>
                </c:numCache>
              </c:numRef>
            </c:plus>
            <c:minus>
              <c:numRef>
                <c:f>'Missing O2 Flux if Redfield'!$AG$19:$AG$28</c:f>
                <c:numCache>
                  <c:formatCode>General</c:formatCode>
                  <c:ptCount val="10"/>
                  <c:pt idx="0">
                    <c:v>55193.148137698809</c:v>
                  </c:pt>
                  <c:pt idx="1">
                    <c:v>112651.79662053933</c:v>
                  </c:pt>
                  <c:pt idx="2">
                    <c:v>160722.7077601463</c:v>
                  </c:pt>
                  <c:pt idx="3">
                    <c:v>202062.33764905241</c:v>
                  </c:pt>
                  <c:pt idx="4">
                    <c:v>245799.66700666957</c:v>
                  </c:pt>
                  <c:pt idx="5">
                    <c:v>292148.66896402306</c:v>
                  </c:pt>
                  <c:pt idx="6">
                    <c:v>360347.92046305095</c:v>
                  </c:pt>
                  <c:pt idx="7">
                    <c:v>426752.24070896464</c:v>
                  </c:pt>
                  <c:pt idx="8">
                    <c:v>493880.87773014838</c:v>
                  </c:pt>
                  <c:pt idx="9">
                    <c:v>565531.12904859753</c:v>
                  </c:pt>
                </c:numCache>
              </c:numRef>
            </c:minus>
            <c:spPr>
              <a:noFill/>
              <a:ln w="9525" cap="flat" cmpd="sng" algn="ctr">
                <a:solidFill>
                  <a:schemeClr val="tx1">
                    <a:lumMod val="65000"/>
                    <a:lumOff val="35000"/>
                  </a:schemeClr>
                </a:solidFill>
                <a:round/>
              </a:ln>
              <a:effectLst/>
            </c:spPr>
          </c:errBars>
          <c:xVal>
            <c:numRef>
              <c:f>'Missing O2 Flux if Redfield'!$E$19:$E$28</c:f>
              <c:numCache>
                <c:formatCode>h:mm;@</c:formatCode>
                <c:ptCount val="10"/>
                <c:pt idx="0">
                  <c:v>41958.25</c:v>
                </c:pt>
                <c:pt idx="1">
                  <c:v>41958.333333333299</c:v>
                </c:pt>
                <c:pt idx="2">
                  <c:v>41958.416666666701</c:v>
                </c:pt>
                <c:pt idx="3">
                  <c:v>41958.500000115702</c:v>
                </c:pt>
                <c:pt idx="4">
                  <c:v>41958.666666898098</c:v>
                </c:pt>
                <c:pt idx="5">
                  <c:v>41958.750000289401</c:v>
                </c:pt>
                <c:pt idx="6">
                  <c:v>41958.916667071797</c:v>
                </c:pt>
                <c:pt idx="7">
                  <c:v>41959.000000462998</c:v>
                </c:pt>
                <c:pt idx="8">
                  <c:v>41959.0833338542</c:v>
                </c:pt>
                <c:pt idx="9">
                  <c:v>41959.166667245401</c:v>
                </c:pt>
              </c:numCache>
            </c:numRef>
          </c:xVal>
          <c:yVal>
            <c:numRef>
              <c:f>'Missing O2 Flux if Redfield'!$AA$19:$AA$28</c:f>
              <c:numCache>
                <c:formatCode>0.00</c:formatCode>
                <c:ptCount val="10"/>
                <c:pt idx="0">
                  <c:v>-58929.44849196545</c:v>
                </c:pt>
                <c:pt idx="1">
                  <c:v>-151730.32148626729</c:v>
                </c:pt>
                <c:pt idx="2">
                  <c:v>-207603.37067788793</c:v>
                </c:pt>
                <c:pt idx="3">
                  <c:v>-321950.28139267158</c:v>
                </c:pt>
                <c:pt idx="4">
                  <c:v>-411530.57675709343</c:v>
                </c:pt>
                <c:pt idx="5">
                  <c:v>-775142.2389393982</c:v>
                </c:pt>
                <c:pt idx="6">
                  <c:v>-1059399.1425324017</c:v>
                </c:pt>
                <c:pt idx="7">
                  <c:v>-1354431.8091286453</c:v>
                </c:pt>
                <c:pt idx="8">
                  <c:v>-1662565.3154164413</c:v>
                </c:pt>
                <c:pt idx="9">
                  <c:v>-1905634.2455101733</c:v>
                </c:pt>
              </c:numCache>
            </c:numRef>
          </c:yVal>
          <c:smooth val="0"/>
          <c:extLst>
            <c:ext xmlns:c16="http://schemas.microsoft.com/office/drawing/2014/chart" uri="{C3380CC4-5D6E-409C-BE32-E72D297353CC}">
              <c16:uniqueId val="{00000000-F357-3F40-A3B6-1B04401B592F}"/>
            </c:ext>
          </c:extLst>
        </c:ser>
        <c:dLbls>
          <c:showLegendKey val="0"/>
          <c:showVal val="0"/>
          <c:showCatName val="0"/>
          <c:showSerName val="0"/>
          <c:showPercent val="0"/>
          <c:showBubbleSize val="0"/>
        </c:dLbls>
        <c:axId val="1012903119"/>
        <c:axId val="982429023"/>
      </c:scatterChart>
      <c:valAx>
        <c:axId val="1012903119"/>
        <c:scaling>
          <c:orientation val="minMax"/>
        </c:scaling>
        <c:delete val="0"/>
        <c:axPos val="b"/>
        <c:numFmt formatCode="h:mm;@" sourceLinked="1"/>
        <c:majorTickMark val="cross"/>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982429023"/>
        <c:crosses val="autoZero"/>
        <c:crossBetween val="midCat"/>
        <c:majorUnit val="0.16666666700000002"/>
      </c:valAx>
      <c:valAx>
        <c:axId val="982429023"/>
        <c:scaling>
          <c:orientation val="minMax"/>
        </c:scaling>
        <c:delete val="0"/>
        <c:axPos val="l"/>
        <c:title>
          <c:tx>
            <c:rich>
              <a:bodyPr rot="-54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a:t>Integrated Bubbles * m-2</a:t>
                </a:r>
              </a:p>
            </c:rich>
          </c:tx>
          <c:overlay val="0"/>
          <c:spPr>
            <a:noFill/>
            <a:ln>
              <a:noFill/>
            </a:ln>
            <a:effectLst/>
          </c:spPr>
          <c:txPr>
            <a:bodyPr rot="-54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General"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012903119"/>
        <c:crosses val="autoZero"/>
        <c:crossBetween val="midCat"/>
      </c:valAx>
      <c:spPr>
        <a:noFill/>
        <a:ln>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b="1">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r>
              <a:rPr lang="en-US"/>
              <a:t>October 2015</a:t>
            </a:r>
          </a:p>
        </c:rich>
      </c:tx>
      <c:overlay val="0"/>
      <c:spPr>
        <a:noFill/>
        <a:ln>
          <a:noFill/>
        </a:ln>
        <a:effectLst/>
      </c:spPr>
      <c:txPr>
        <a:bodyPr rot="0" spcFirstLastPara="1" vertOverflow="ellipsis" vert="horz" wrap="square" anchor="ctr" anchorCtr="1"/>
        <a:lstStyle/>
        <a:p>
          <a:pPr>
            <a:defRPr sz="168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errBars>
            <c:errDir val="y"/>
            <c:errBarType val="both"/>
            <c:errValType val="cust"/>
            <c:noEndCap val="0"/>
            <c:plus>
              <c:numRef>
                <c:f>'Missing O2 Flux if Redfield'!$AG$33:$AG$43</c:f>
                <c:numCache>
                  <c:formatCode>General</c:formatCode>
                  <c:ptCount val="11"/>
                  <c:pt idx="0">
                    <c:v>68614.326113349234</c:v>
                  </c:pt>
                  <c:pt idx="1">
                    <c:v>122589.65537725107</c:v>
                  </c:pt>
                  <c:pt idx="2">
                    <c:v>171863.0284824197</c:v>
                  </c:pt>
                  <c:pt idx="3">
                    <c:v>219912.79590671547</c:v>
                  </c:pt>
                  <c:pt idx="4">
                    <c:v>268551.64998543594</c:v>
                  </c:pt>
                  <c:pt idx="5">
                    <c:v>319187.65568802075</c:v>
                  </c:pt>
                  <c:pt idx="6">
                    <c:v>375963.70839217736</c:v>
                  </c:pt>
                  <c:pt idx="7">
                    <c:v>434313.0877662875</c:v>
                  </c:pt>
                  <c:pt idx="8">
                    <c:v>494177.29389264097</c:v>
                  </c:pt>
                  <c:pt idx="9">
                    <c:v>555627.22412287432</c:v>
                  </c:pt>
                  <c:pt idx="10">
                    <c:v>616641.17669199686</c:v>
                  </c:pt>
                </c:numCache>
              </c:numRef>
            </c:plus>
            <c:minus>
              <c:numRef>
                <c:f>'Missing O2 Flux if Redfield'!$AG$33:$AG$43</c:f>
                <c:numCache>
                  <c:formatCode>General</c:formatCode>
                  <c:ptCount val="11"/>
                  <c:pt idx="0">
                    <c:v>68614.326113349234</c:v>
                  </c:pt>
                  <c:pt idx="1">
                    <c:v>122589.65537725107</c:v>
                  </c:pt>
                  <c:pt idx="2">
                    <c:v>171863.0284824197</c:v>
                  </c:pt>
                  <c:pt idx="3">
                    <c:v>219912.79590671547</c:v>
                  </c:pt>
                  <c:pt idx="4">
                    <c:v>268551.64998543594</c:v>
                  </c:pt>
                  <c:pt idx="5">
                    <c:v>319187.65568802075</c:v>
                  </c:pt>
                  <c:pt idx="6">
                    <c:v>375963.70839217736</c:v>
                  </c:pt>
                  <c:pt idx="7">
                    <c:v>434313.0877662875</c:v>
                  </c:pt>
                  <c:pt idx="8">
                    <c:v>494177.29389264097</c:v>
                  </c:pt>
                  <c:pt idx="9">
                    <c:v>555627.22412287432</c:v>
                  </c:pt>
                  <c:pt idx="10">
                    <c:v>616641.17669199686</c:v>
                  </c:pt>
                </c:numCache>
              </c:numRef>
            </c:minus>
            <c:spPr>
              <a:noFill/>
              <a:ln w="9525" cap="flat" cmpd="sng" algn="ctr">
                <a:solidFill>
                  <a:schemeClr val="tx1">
                    <a:lumMod val="65000"/>
                    <a:lumOff val="35000"/>
                  </a:schemeClr>
                </a:solidFill>
                <a:round/>
              </a:ln>
              <a:effectLst/>
            </c:spPr>
          </c:errBars>
          <c:xVal>
            <c:numRef>
              <c:f>'Missing O2 Flux if Redfield'!$E$33:$E$43</c:f>
              <c:numCache>
                <c:formatCode>h:mm;@</c:formatCode>
                <c:ptCount val="11"/>
                <c:pt idx="0">
                  <c:v>42300.25</c:v>
                </c:pt>
                <c:pt idx="1">
                  <c:v>42300.333333333336</c:v>
                </c:pt>
                <c:pt idx="2">
                  <c:v>42300.416666666664</c:v>
                </c:pt>
                <c:pt idx="3">
                  <c:v>42300.5</c:v>
                </c:pt>
                <c:pt idx="4">
                  <c:v>42300.583333333336</c:v>
                </c:pt>
                <c:pt idx="5">
                  <c:v>42300.666666666664</c:v>
                </c:pt>
                <c:pt idx="6">
                  <c:v>42300.739583333336</c:v>
                </c:pt>
                <c:pt idx="7">
                  <c:v>42300.916666666664</c:v>
                </c:pt>
                <c:pt idx="8">
                  <c:v>42301.00277777778</c:v>
                </c:pt>
                <c:pt idx="9">
                  <c:v>42301.086111111108</c:v>
                </c:pt>
                <c:pt idx="10">
                  <c:v>42301.166666666664</c:v>
                </c:pt>
              </c:numCache>
            </c:numRef>
          </c:xVal>
          <c:yVal>
            <c:numRef>
              <c:f>'Missing O2 Flux if Redfield'!$AA$33:$AA$43</c:f>
              <c:numCache>
                <c:formatCode>0.00</c:formatCode>
                <c:ptCount val="11"/>
                <c:pt idx="0">
                  <c:v>-32709.490813295924</c:v>
                </c:pt>
                <c:pt idx="1">
                  <c:v>-18913.952088667073</c:v>
                </c:pt>
                <c:pt idx="2">
                  <c:v>-21066.866316649153</c:v>
                </c:pt>
                <c:pt idx="3">
                  <c:v>9680.8749324472556</c:v>
                </c:pt>
                <c:pt idx="4">
                  <c:v>27989.650655659891</c:v>
                </c:pt>
                <c:pt idx="5">
                  <c:v>33470.280419785166</c:v>
                </c:pt>
                <c:pt idx="6">
                  <c:v>-141150.51329322986</c:v>
                </c:pt>
                <c:pt idx="7">
                  <c:v>-277224.98405959096</c:v>
                </c:pt>
                <c:pt idx="8">
                  <c:v>-482483.01994580991</c:v>
                </c:pt>
                <c:pt idx="9">
                  <c:v>-656057.5825631161</c:v>
                </c:pt>
                <c:pt idx="10">
                  <c:v>-850809.43165772152</c:v>
                </c:pt>
              </c:numCache>
            </c:numRef>
          </c:yVal>
          <c:smooth val="0"/>
          <c:extLst>
            <c:ext xmlns:c16="http://schemas.microsoft.com/office/drawing/2014/chart" uri="{C3380CC4-5D6E-409C-BE32-E72D297353CC}">
              <c16:uniqueId val="{00000000-F357-3F40-A3B6-1B04401B592F}"/>
            </c:ext>
          </c:extLst>
        </c:ser>
        <c:dLbls>
          <c:showLegendKey val="0"/>
          <c:showVal val="0"/>
          <c:showCatName val="0"/>
          <c:showSerName val="0"/>
          <c:showPercent val="0"/>
          <c:showBubbleSize val="0"/>
        </c:dLbls>
        <c:axId val="1012903119"/>
        <c:axId val="982429023"/>
      </c:scatterChart>
      <c:valAx>
        <c:axId val="1012903119"/>
        <c:scaling>
          <c:orientation val="minMax"/>
        </c:scaling>
        <c:delete val="0"/>
        <c:axPos val="b"/>
        <c:numFmt formatCode="h:mm;@" sourceLinked="1"/>
        <c:majorTickMark val="cross"/>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982429023"/>
        <c:crosses val="autoZero"/>
        <c:crossBetween val="midCat"/>
        <c:majorUnit val="0.16666666700000002"/>
      </c:valAx>
      <c:valAx>
        <c:axId val="982429023"/>
        <c:scaling>
          <c:orientation val="minMax"/>
        </c:scaling>
        <c:delete val="0"/>
        <c:axPos val="l"/>
        <c:title>
          <c:tx>
            <c:rich>
              <a:bodyPr rot="-54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a:t>Integrated Bubbles * m-2</a:t>
                </a:r>
              </a:p>
            </c:rich>
          </c:tx>
          <c:overlay val="0"/>
          <c:spPr>
            <a:noFill/>
            <a:ln>
              <a:noFill/>
            </a:ln>
            <a:effectLst/>
          </c:spPr>
          <c:txPr>
            <a:bodyPr rot="-54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General"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012903119"/>
        <c:crosses val="autoZero"/>
        <c:crossBetween val="midCat"/>
      </c:valAx>
      <c:spPr>
        <a:noFill/>
        <a:ln>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b="1">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r>
              <a:rPr lang="en-US"/>
              <a:t>March 2017</a:t>
            </a:r>
          </a:p>
        </c:rich>
      </c:tx>
      <c:overlay val="0"/>
      <c:spPr>
        <a:noFill/>
        <a:ln>
          <a:noFill/>
        </a:ln>
        <a:effectLst/>
      </c:spPr>
      <c:txPr>
        <a:bodyPr rot="0" spcFirstLastPara="1" vertOverflow="ellipsis" vert="horz" wrap="square" anchor="ctr" anchorCtr="1"/>
        <a:lstStyle/>
        <a:p>
          <a:pPr>
            <a:defRPr sz="168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errBars>
            <c:errDir val="y"/>
            <c:errBarType val="both"/>
            <c:errValType val="cust"/>
            <c:noEndCap val="0"/>
            <c:plus>
              <c:numRef>
                <c:f>'Missing O2 Flux if Redfield'!$AG$49:$AG$59</c:f>
                <c:numCache>
                  <c:formatCode>General</c:formatCode>
                  <c:ptCount val="11"/>
                  <c:pt idx="0">
                    <c:v>50679.759233399898</c:v>
                  </c:pt>
                  <c:pt idx="1">
                    <c:v>98442.683184592912</c:v>
                  </c:pt>
                  <c:pt idx="2">
                    <c:v>144322.3930906161</c:v>
                  </c:pt>
                  <c:pt idx="3">
                    <c:v>196322.90751780936</c:v>
                  </c:pt>
                  <c:pt idx="4">
                    <c:v>260631.38347812163</c:v>
                  </c:pt>
                  <c:pt idx="5">
                    <c:v>339843.81158674497</c:v>
                  </c:pt>
                  <c:pt idx="6">
                    <c:v>420915.05494384823</c:v>
                  </c:pt>
                  <c:pt idx="7">
                    <c:v>494157.88412894146</c:v>
                  </c:pt>
                  <c:pt idx="8">
                    <c:v>578902.2624390244</c:v>
                  </c:pt>
                  <c:pt idx="9">
                    <c:v>655592.95969149959</c:v>
                  </c:pt>
                  <c:pt idx="10">
                    <c:v>714686.12343815505</c:v>
                  </c:pt>
                </c:numCache>
              </c:numRef>
            </c:plus>
            <c:minus>
              <c:numRef>
                <c:f>'Missing O2 Flux if Redfield'!$AG$49:$AG$59</c:f>
                <c:numCache>
                  <c:formatCode>General</c:formatCode>
                  <c:ptCount val="11"/>
                  <c:pt idx="0">
                    <c:v>50679.759233399898</c:v>
                  </c:pt>
                  <c:pt idx="1">
                    <c:v>98442.683184592912</c:v>
                  </c:pt>
                  <c:pt idx="2">
                    <c:v>144322.3930906161</c:v>
                  </c:pt>
                  <c:pt idx="3">
                    <c:v>196322.90751780936</c:v>
                  </c:pt>
                  <c:pt idx="4">
                    <c:v>260631.38347812163</c:v>
                  </c:pt>
                  <c:pt idx="5">
                    <c:v>339843.81158674497</c:v>
                  </c:pt>
                  <c:pt idx="6">
                    <c:v>420915.05494384823</c:v>
                  </c:pt>
                  <c:pt idx="7">
                    <c:v>494157.88412894146</c:v>
                  </c:pt>
                  <c:pt idx="8">
                    <c:v>578902.2624390244</c:v>
                  </c:pt>
                  <c:pt idx="9">
                    <c:v>655592.95969149959</c:v>
                  </c:pt>
                  <c:pt idx="10">
                    <c:v>714686.12343815505</c:v>
                  </c:pt>
                </c:numCache>
              </c:numRef>
            </c:minus>
            <c:spPr>
              <a:noFill/>
              <a:ln w="9525" cap="flat" cmpd="sng" algn="ctr">
                <a:solidFill>
                  <a:schemeClr val="tx1">
                    <a:lumMod val="65000"/>
                    <a:lumOff val="35000"/>
                  </a:schemeClr>
                </a:solidFill>
                <a:round/>
              </a:ln>
              <a:effectLst/>
            </c:spPr>
          </c:errBars>
          <c:xVal>
            <c:numRef>
              <c:f>'Missing O2 Flux if Redfield'!$E$49:$E$59</c:f>
              <c:numCache>
                <c:formatCode>h:mm;@</c:formatCode>
                <c:ptCount val="11"/>
                <c:pt idx="0">
                  <c:v>42817.5</c:v>
                </c:pt>
                <c:pt idx="1">
                  <c:v>42817.583333333336</c:v>
                </c:pt>
                <c:pt idx="2">
                  <c:v>42817.666666666672</c:v>
                </c:pt>
                <c:pt idx="3">
                  <c:v>42817.750000000007</c:v>
                </c:pt>
                <c:pt idx="4">
                  <c:v>42817.833333333343</c:v>
                </c:pt>
                <c:pt idx="5">
                  <c:v>42817.916666666679</c:v>
                </c:pt>
                <c:pt idx="6">
                  <c:v>42818.000000000015</c:v>
                </c:pt>
                <c:pt idx="7">
                  <c:v>42818.08333333335</c:v>
                </c:pt>
                <c:pt idx="8">
                  <c:v>42818.250000000015</c:v>
                </c:pt>
                <c:pt idx="9">
                  <c:v>42818.33333333335</c:v>
                </c:pt>
                <c:pt idx="10">
                  <c:v>42818.416666666686</c:v>
                </c:pt>
              </c:numCache>
            </c:numRef>
          </c:xVal>
          <c:yVal>
            <c:numRef>
              <c:f>'Missing O2 Flux if Redfield'!$AA$49:$AA$59</c:f>
              <c:numCache>
                <c:formatCode>0.00</c:formatCode>
                <c:ptCount val="11"/>
                <c:pt idx="0">
                  <c:v>-2683.0687464950511</c:v>
                </c:pt>
                <c:pt idx="1">
                  <c:v>70469.460622271101</c:v>
                </c:pt>
                <c:pt idx="2">
                  <c:v>46607.71871196929</c:v>
                </c:pt>
                <c:pt idx="3">
                  <c:v>-113763.59115519334</c:v>
                </c:pt>
                <c:pt idx="4">
                  <c:v>-240752.8778362872</c:v>
                </c:pt>
                <c:pt idx="5">
                  <c:v>-338787.61955037754</c:v>
                </c:pt>
                <c:pt idx="6">
                  <c:v>-387906.58713511523</c:v>
                </c:pt>
                <c:pt idx="7">
                  <c:v>-531969.44464650902</c:v>
                </c:pt>
                <c:pt idx="8">
                  <c:v>-402359.81733142515</c:v>
                </c:pt>
                <c:pt idx="9">
                  <c:v>-397504.9835929714</c:v>
                </c:pt>
                <c:pt idx="10">
                  <c:v>-248592.31752791203</c:v>
                </c:pt>
              </c:numCache>
            </c:numRef>
          </c:yVal>
          <c:smooth val="0"/>
          <c:extLst>
            <c:ext xmlns:c16="http://schemas.microsoft.com/office/drawing/2014/chart" uri="{C3380CC4-5D6E-409C-BE32-E72D297353CC}">
              <c16:uniqueId val="{00000000-F357-3F40-A3B6-1B04401B592F}"/>
            </c:ext>
          </c:extLst>
        </c:ser>
        <c:dLbls>
          <c:showLegendKey val="0"/>
          <c:showVal val="0"/>
          <c:showCatName val="0"/>
          <c:showSerName val="0"/>
          <c:showPercent val="0"/>
          <c:showBubbleSize val="0"/>
        </c:dLbls>
        <c:axId val="1012903119"/>
        <c:axId val="982429023"/>
      </c:scatterChart>
      <c:valAx>
        <c:axId val="1012903119"/>
        <c:scaling>
          <c:orientation val="minMax"/>
        </c:scaling>
        <c:delete val="0"/>
        <c:axPos val="b"/>
        <c:numFmt formatCode="h:mm;@" sourceLinked="1"/>
        <c:majorTickMark val="cross"/>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982429023"/>
        <c:crosses val="autoZero"/>
        <c:crossBetween val="midCat"/>
        <c:majorUnit val="0.16666666700000002"/>
      </c:valAx>
      <c:valAx>
        <c:axId val="982429023"/>
        <c:scaling>
          <c:orientation val="minMax"/>
        </c:scaling>
        <c:delete val="0"/>
        <c:axPos val="l"/>
        <c:title>
          <c:tx>
            <c:rich>
              <a:bodyPr rot="-54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a:t>Integrated Bubbles * m-2</a:t>
                </a:r>
              </a:p>
            </c:rich>
          </c:tx>
          <c:overlay val="0"/>
          <c:spPr>
            <a:noFill/>
            <a:ln>
              <a:noFill/>
            </a:ln>
            <a:effectLst/>
          </c:spPr>
          <c:txPr>
            <a:bodyPr rot="-54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General"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012903119"/>
        <c:crosses val="autoZero"/>
        <c:crossBetween val="midCat"/>
      </c:valAx>
      <c:spPr>
        <a:noFill/>
        <a:ln>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b="1">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r>
              <a:rPr lang="en-US"/>
              <a:t>May 2014</a:t>
            </a:r>
          </a:p>
        </c:rich>
      </c:tx>
      <c:overlay val="0"/>
      <c:spPr>
        <a:noFill/>
        <a:ln>
          <a:noFill/>
        </a:ln>
        <a:effectLst/>
      </c:spPr>
      <c:txPr>
        <a:bodyPr rot="0" spcFirstLastPara="1" vertOverflow="ellipsis" vert="horz" wrap="square" anchor="ctr" anchorCtr="1"/>
        <a:lstStyle/>
        <a:p>
          <a:pPr>
            <a:defRPr sz="168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scatterChart>
        <c:scatterStyle val="lineMarker"/>
        <c:varyColors val="0"/>
        <c:ser>
          <c:idx val="0"/>
          <c:order val="0"/>
          <c:tx>
            <c:strRef>
              <c:f>'Missing O2 Flux if Redfield'!$B$12</c:f>
              <c:strCache>
                <c:ptCount val="1"/>
                <c:pt idx="0">
                  <c:v>Implied Missing O2 Flux (µmol*kg-1*hr-1)</c:v>
                </c:pt>
              </c:strCache>
            </c:strRef>
          </c:tx>
          <c:spPr>
            <a:ln w="19050" cap="rnd">
              <a:noFill/>
              <a:round/>
            </a:ln>
            <a:effectLst/>
          </c:spPr>
          <c:marker>
            <c:symbol val="circle"/>
            <c:size val="5"/>
            <c:spPr>
              <a:solidFill>
                <a:schemeClr val="accent1"/>
              </a:solidFill>
              <a:ln w="9525">
                <a:solidFill>
                  <a:schemeClr val="accent1"/>
                </a:solidFill>
              </a:ln>
              <a:effectLst/>
            </c:spPr>
          </c:marker>
          <c:errBars>
            <c:errDir val="y"/>
            <c:errBarType val="both"/>
            <c:errValType val="cust"/>
            <c:noEndCap val="0"/>
            <c:plus>
              <c:numRef>
                <c:f>'Missing O2 Flux if Redfield'!$C$13:$C$24</c:f>
                <c:numCache>
                  <c:formatCode>General</c:formatCode>
                  <c:ptCount val="12"/>
                  <c:pt idx="0">
                    <c:v>9.3044763307186908</c:v>
                  </c:pt>
                  <c:pt idx="1">
                    <c:v>9.3489048245880593</c:v>
                  </c:pt>
                  <c:pt idx="2">
                    <c:v>9.3200519730672102</c:v>
                  </c:pt>
                  <c:pt idx="3">
                    <c:v>9.3601423740059104</c:v>
                  </c:pt>
                  <c:pt idx="4">
                    <c:v>9.3016173726275309</c:v>
                  </c:pt>
                  <c:pt idx="5">
                    <c:v>9.3186449668686802</c:v>
                  </c:pt>
                  <c:pt idx="6">
                    <c:v>9.3049901082470807</c:v>
                  </c:pt>
                  <c:pt idx="7">
                    <c:v>9.2981823958409109</c:v>
                  </c:pt>
                  <c:pt idx="8">
                    <c:v>9.3122568980853</c:v>
                  </c:pt>
                  <c:pt idx="9">
                    <c:v>9.3485299413126306</c:v>
                  </c:pt>
                  <c:pt idx="10">
                    <c:v>9.3552326288147505</c:v>
                  </c:pt>
                  <c:pt idx="11">
                    <c:v>9.3621070710891594</c:v>
                  </c:pt>
                </c:numCache>
              </c:numRef>
            </c:plus>
            <c:minus>
              <c:numRef>
                <c:f>'Missing O2 Flux if Redfield'!$C$13:$C$24</c:f>
                <c:numCache>
                  <c:formatCode>General</c:formatCode>
                  <c:ptCount val="12"/>
                  <c:pt idx="0">
                    <c:v>9.3044763307186908</c:v>
                  </c:pt>
                  <c:pt idx="1">
                    <c:v>9.3489048245880593</c:v>
                  </c:pt>
                  <c:pt idx="2">
                    <c:v>9.3200519730672102</c:v>
                  </c:pt>
                  <c:pt idx="3">
                    <c:v>9.3601423740059104</c:v>
                  </c:pt>
                  <c:pt idx="4">
                    <c:v>9.3016173726275309</c:v>
                  </c:pt>
                  <c:pt idx="5">
                    <c:v>9.3186449668686802</c:v>
                  </c:pt>
                  <c:pt idx="6">
                    <c:v>9.3049901082470807</c:v>
                  </c:pt>
                  <c:pt idx="7">
                    <c:v>9.2981823958409109</c:v>
                  </c:pt>
                  <c:pt idx="8">
                    <c:v>9.3122568980853</c:v>
                  </c:pt>
                  <c:pt idx="9">
                    <c:v>9.3485299413126306</c:v>
                  </c:pt>
                  <c:pt idx="10">
                    <c:v>9.3552326288147505</c:v>
                  </c:pt>
                  <c:pt idx="11">
                    <c:v>9.3621070710891594</c:v>
                  </c:pt>
                </c:numCache>
              </c:numRef>
            </c:minus>
            <c:spPr>
              <a:noFill/>
              <a:ln w="9525" cap="flat" cmpd="sng" algn="ctr">
                <a:solidFill>
                  <a:schemeClr val="tx1">
                    <a:lumMod val="65000"/>
                    <a:lumOff val="35000"/>
                  </a:schemeClr>
                </a:solidFill>
                <a:round/>
              </a:ln>
              <a:effectLst/>
            </c:spPr>
          </c:errBars>
          <c:xVal>
            <c:numRef>
              <c:f>'Missing O2 Flux if Redfield'!$A$13:$A$24</c:f>
              <c:numCache>
                <c:formatCode>h:mm;@</c:formatCode>
                <c:ptCount val="12"/>
                <c:pt idx="0">
                  <c:v>0.45833333333333331</c:v>
                </c:pt>
                <c:pt idx="1">
                  <c:v>0.54166666666666663</c:v>
                </c:pt>
                <c:pt idx="2">
                  <c:v>0.625</c:v>
                </c:pt>
                <c:pt idx="3">
                  <c:v>0.70833333333333337</c:v>
                </c:pt>
                <c:pt idx="4">
                  <c:v>0.79166666666666663</c:v>
                </c:pt>
                <c:pt idx="5">
                  <c:v>0.875</c:v>
                </c:pt>
                <c:pt idx="6">
                  <c:v>0.95833333333333337</c:v>
                </c:pt>
                <c:pt idx="7">
                  <c:v>1.0416666666666667</c:v>
                </c:pt>
                <c:pt idx="8">
                  <c:v>1.125</c:v>
                </c:pt>
                <c:pt idx="9">
                  <c:v>1.2083333333333333</c:v>
                </c:pt>
                <c:pt idx="10">
                  <c:v>1.2916666666666667</c:v>
                </c:pt>
                <c:pt idx="11">
                  <c:v>1.375</c:v>
                </c:pt>
              </c:numCache>
            </c:numRef>
          </c:xVal>
          <c:yVal>
            <c:numRef>
              <c:f>'Missing O2 Flux if Redfield'!$B$13:$B$24</c:f>
              <c:numCache>
                <c:formatCode>0.00</c:formatCode>
                <c:ptCount val="12"/>
                <c:pt idx="0">
                  <c:v>-13.104833469730158</c:v>
                </c:pt>
                <c:pt idx="1">
                  <c:v>-10.696634703342287</c:v>
                </c:pt>
                <c:pt idx="2">
                  <c:v>-12.528566717467163</c:v>
                </c:pt>
                <c:pt idx="3">
                  <c:v>-8.3207327812752201</c:v>
                </c:pt>
                <c:pt idx="4">
                  <c:v>-9.4791247774429941</c:v>
                </c:pt>
                <c:pt idx="5">
                  <c:v>17.066859012153348</c:v>
                </c:pt>
                <c:pt idx="6">
                  <c:v>12.244244879910966</c:v>
                </c:pt>
                <c:pt idx="7">
                  <c:v>-13.093918368334771</c:v>
                </c:pt>
                <c:pt idx="8">
                  <c:v>-3.592330902312777</c:v>
                </c:pt>
                <c:pt idx="9">
                  <c:v>4.3876848086387197</c:v>
                </c:pt>
                <c:pt idx="10">
                  <c:v>6.4071308602853332</c:v>
                </c:pt>
                <c:pt idx="11">
                  <c:v>-9.3821573541768721</c:v>
                </c:pt>
              </c:numCache>
            </c:numRef>
          </c:yVal>
          <c:smooth val="0"/>
          <c:extLst>
            <c:ext xmlns:c16="http://schemas.microsoft.com/office/drawing/2014/chart" uri="{C3380CC4-5D6E-409C-BE32-E72D297353CC}">
              <c16:uniqueId val="{00000000-6DCC-DF47-BF96-A5A0BCA77E30}"/>
            </c:ext>
          </c:extLst>
        </c:ser>
        <c:dLbls>
          <c:showLegendKey val="0"/>
          <c:showVal val="0"/>
          <c:showCatName val="0"/>
          <c:showSerName val="0"/>
          <c:showPercent val="0"/>
          <c:showBubbleSize val="0"/>
        </c:dLbls>
        <c:axId val="871586543"/>
        <c:axId val="1015367983"/>
      </c:scatterChart>
      <c:valAx>
        <c:axId val="871586543"/>
        <c:scaling>
          <c:orientation val="minMax"/>
        </c:scaling>
        <c:delete val="0"/>
        <c:axPos val="b"/>
        <c:numFmt formatCode="h:mm;@" sourceLinked="1"/>
        <c:majorTickMark val="cross"/>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015367983"/>
        <c:crosses val="autoZero"/>
        <c:crossBetween val="midCat"/>
        <c:majorUnit val="0.16666666700000002"/>
      </c:valAx>
      <c:valAx>
        <c:axId val="1015367983"/>
        <c:scaling>
          <c:orientation val="minMax"/>
        </c:scaling>
        <c:delete val="0"/>
        <c:axPos val="l"/>
        <c:title>
          <c:tx>
            <c:rich>
              <a:bodyPr rot="-54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a:t>Implied Missing O2 Flux</a:t>
                </a:r>
              </a:p>
              <a:p>
                <a:pPr>
                  <a:defRPr/>
                </a:pPr>
                <a:r>
                  <a:rPr lang="en-US"/>
                  <a:t>(µmol*kg*hr-1)</a:t>
                </a:r>
              </a:p>
            </c:rich>
          </c:tx>
          <c:layout>
            <c:manualLayout>
              <c:xMode val="edge"/>
              <c:yMode val="edge"/>
              <c:x val="1.3916500994035786E-2"/>
              <c:y val="0.16813648293963257"/>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General"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871586543"/>
        <c:crosses val="autoZero"/>
        <c:crossBetween val="midCat"/>
      </c:valAx>
      <c:spPr>
        <a:noFill/>
        <a:ln>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b="1">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r>
              <a:rPr lang="en-US"/>
              <a:t>November 2014</a:t>
            </a:r>
          </a:p>
        </c:rich>
      </c:tx>
      <c:overlay val="0"/>
      <c:spPr>
        <a:noFill/>
        <a:ln>
          <a:noFill/>
        </a:ln>
        <a:effectLst/>
      </c:spPr>
      <c:txPr>
        <a:bodyPr rot="0" spcFirstLastPara="1" vertOverflow="ellipsis" vert="horz" wrap="square" anchor="ctr" anchorCtr="1"/>
        <a:lstStyle/>
        <a:p>
          <a:pPr>
            <a:defRPr sz="168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scatterChart>
        <c:scatterStyle val="lineMarker"/>
        <c:varyColors val="0"/>
        <c:ser>
          <c:idx val="0"/>
          <c:order val="0"/>
          <c:tx>
            <c:strRef>
              <c:f>'Missing O2 Flux if Redfield'!$B$12</c:f>
              <c:strCache>
                <c:ptCount val="1"/>
                <c:pt idx="0">
                  <c:v>Implied Missing O2 Flux (µmol*kg-1*hr-1)</c:v>
                </c:pt>
              </c:strCache>
            </c:strRef>
          </c:tx>
          <c:spPr>
            <a:ln w="25400" cap="rnd">
              <a:noFill/>
              <a:round/>
            </a:ln>
            <a:effectLst/>
          </c:spPr>
          <c:marker>
            <c:symbol val="circle"/>
            <c:size val="5"/>
            <c:spPr>
              <a:solidFill>
                <a:schemeClr val="accent1"/>
              </a:solidFill>
              <a:ln w="9525">
                <a:solidFill>
                  <a:schemeClr val="accent1"/>
                </a:solidFill>
              </a:ln>
              <a:effectLst/>
            </c:spPr>
          </c:marker>
          <c:errBars>
            <c:errDir val="y"/>
            <c:errBarType val="both"/>
            <c:errValType val="cust"/>
            <c:noEndCap val="0"/>
            <c:plus>
              <c:numRef>
                <c:f>'Missing O2 Flux if Redfield'!$C$29:$C$38</c:f>
                <c:numCache>
                  <c:formatCode>General</c:formatCode>
                  <c:ptCount val="10"/>
                  <c:pt idx="0">
                    <c:v>8.0582297900002704</c:v>
                  </c:pt>
                  <c:pt idx="1">
                    <c:v>8.0629644033526393</c:v>
                  </c:pt>
                  <c:pt idx="2">
                    <c:v>8.0569623552341891</c:v>
                  </c:pt>
                  <c:pt idx="3">
                    <c:v>3.7079721862716002</c:v>
                  </c:pt>
                  <c:pt idx="4">
                    <c:v>8.0560614264662895</c:v>
                  </c:pt>
                  <c:pt idx="5">
                    <c:v>3.7021118357913099</c:v>
                  </c:pt>
                  <c:pt idx="6">
                    <c:v>8.1264396175550999</c:v>
                  </c:pt>
                  <c:pt idx="7">
                    <c:v>8.0864628578779207</c:v>
                  </c:pt>
                  <c:pt idx="8">
                    <c:v>8.0867677213140894</c:v>
                  </c:pt>
                  <c:pt idx="9">
                    <c:v>8.0998232049068193</c:v>
                  </c:pt>
                </c:numCache>
              </c:numRef>
            </c:plus>
            <c:minus>
              <c:numRef>
                <c:f>'Missing O2 Flux if Redfield'!$C$29:$C$38</c:f>
                <c:numCache>
                  <c:formatCode>General</c:formatCode>
                  <c:ptCount val="10"/>
                  <c:pt idx="0">
                    <c:v>8.0582297900002704</c:v>
                  </c:pt>
                  <c:pt idx="1">
                    <c:v>8.0629644033526393</c:v>
                  </c:pt>
                  <c:pt idx="2">
                    <c:v>8.0569623552341891</c:v>
                  </c:pt>
                  <c:pt idx="3">
                    <c:v>3.7079721862716002</c:v>
                  </c:pt>
                  <c:pt idx="4">
                    <c:v>8.0560614264662895</c:v>
                  </c:pt>
                  <c:pt idx="5">
                    <c:v>3.7021118357913099</c:v>
                  </c:pt>
                  <c:pt idx="6">
                    <c:v>8.1264396175550999</c:v>
                  </c:pt>
                  <c:pt idx="7">
                    <c:v>8.0864628578779207</c:v>
                  </c:pt>
                  <c:pt idx="8">
                    <c:v>8.0867677213140894</c:v>
                  </c:pt>
                  <c:pt idx="9">
                    <c:v>8.0998232049068193</c:v>
                  </c:pt>
                </c:numCache>
              </c:numRef>
            </c:minus>
            <c:spPr>
              <a:noFill/>
              <a:ln w="9525" cap="flat" cmpd="sng" algn="ctr">
                <a:solidFill>
                  <a:schemeClr val="tx1">
                    <a:lumMod val="65000"/>
                    <a:lumOff val="35000"/>
                  </a:schemeClr>
                </a:solidFill>
                <a:round/>
              </a:ln>
              <a:effectLst/>
            </c:spPr>
          </c:errBars>
          <c:xVal>
            <c:numRef>
              <c:f>'Missing O2 Flux if Redfield'!$A$29:$A$38</c:f>
              <c:numCache>
                <c:formatCode>h:mm;@</c:formatCode>
                <c:ptCount val="10"/>
                <c:pt idx="0">
                  <c:v>41958.25</c:v>
                </c:pt>
                <c:pt idx="1">
                  <c:v>41958.333333333299</c:v>
                </c:pt>
                <c:pt idx="2">
                  <c:v>41958.416666666701</c:v>
                </c:pt>
                <c:pt idx="3">
                  <c:v>41958.500000115702</c:v>
                </c:pt>
                <c:pt idx="4">
                  <c:v>41958.666666898098</c:v>
                </c:pt>
                <c:pt idx="5">
                  <c:v>41958.750000289401</c:v>
                </c:pt>
                <c:pt idx="6">
                  <c:v>41958.916667071797</c:v>
                </c:pt>
                <c:pt idx="7">
                  <c:v>41959.000000462998</c:v>
                </c:pt>
                <c:pt idx="8">
                  <c:v>41959.0833338542</c:v>
                </c:pt>
                <c:pt idx="9">
                  <c:v>41959.166667245401</c:v>
                </c:pt>
              </c:numCache>
            </c:numRef>
          </c:xVal>
          <c:yVal>
            <c:numRef>
              <c:f>'Missing O2 Flux if Redfield'!$B$29:$B$38</c:f>
              <c:numCache>
                <c:formatCode>0.00</c:formatCode>
                <c:ptCount val="10"/>
                <c:pt idx="0">
                  <c:v>8.6037316835328692</c:v>
                </c:pt>
                <c:pt idx="1">
                  <c:v>13.022410991385616</c:v>
                </c:pt>
                <c:pt idx="2">
                  <c:v>9.3646457563840606</c:v>
                </c:pt>
                <c:pt idx="3">
                  <c:v>10.256385111717773</c:v>
                </c:pt>
                <c:pt idx="4">
                  <c:v>16.49996405029913</c:v>
                </c:pt>
                <c:pt idx="5">
                  <c:v>29.043366229017451</c:v>
                </c:pt>
                <c:pt idx="6">
                  <c:v>33.871289085257139</c:v>
                </c:pt>
                <c:pt idx="7">
                  <c:v>35.927944017136618</c:v>
                </c:pt>
                <c:pt idx="8">
                  <c:v>37.11983742075904</c:v>
                </c:pt>
                <c:pt idx="9">
                  <c:v>27.478136142393879</c:v>
                </c:pt>
              </c:numCache>
            </c:numRef>
          </c:yVal>
          <c:smooth val="0"/>
          <c:extLst>
            <c:ext xmlns:c16="http://schemas.microsoft.com/office/drawing/2014/chart" uri="{C3380CC4-5D6E-409C-BE32-E72D297353CC}">
              <c16:uniqueId val="{00000000-6DCC-DF47-BF96-A5A0BCA77E30}"/>
            </c:ext>
          </c:extLst>
        </c:ser>
        <c:dLbls>
          <c:showLegendKey val="0"/>
          <c:showVal val="0"/>
          <c:showCatName val="0"/>
          <c:showSerName val="0"/>
          <c:showPercent val="0"/>
          <c:showBubbleSize val="0"/>
        </c:dLbls>
        <c:axId val="871586543"/>
        <c:axId val="1015367983"/>
      </c:scatterChart>
      <c:valAx>
        <c:axId val="871586543"/>
        <c:scaling>
          <c:orientation val="minMax"/>
        </c:scaling>
        <c:delete val="0"/>
        <c:axPos val="b"/>
        <c:numFmt formatCode="h:mm;@" sourceLinked="1"/>
        <c:majorTickMark val="cross"/>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015367983"/>
        <c:crosses val="autoZero"/>
        <c:crossBetween val="midCat"/>
        <c:majorUnit val="0.16666666700000002"/>
      </c:valAx>
      <c:valAx>
        <c:axId val="1015367983"/>
        <c:scaling>
          <c:orientation val="minMax"/>
        </c:scaling>
        <c:delete val="0"/>
        <c:axPos val="l"/>
        <c:title>
          <c:tx>
            <c:rich>
              <a:bodyPr rot="-54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a:t>Implied Missing O2 Flux</a:t>
                </a:r>
              </a:p>
              <a:p>
                <a:pPr>
                  <a:defRPr/>
                </a:pPr>
                <a:r>
                  <a:rPr lang="en-US"/>
                  <a:t>(µmol*kg*hr-1)</a:t>
                </a:r>
              </a:p>
            </c:rich>
          </c:tx>
          <c:layout>
            <c:manualLayout>
              <c:xMode val="edge"/>
              <c:yMode val="edge"/>
              <c:x val="1.3916500994035786E-2"/>
              <c:y val="0.16813648293963257"/>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General"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871586543"/>
        <c:crosses val="autoZero"/>
        <c:crossBetween val="midCat"/>
      </c:valAx>
      <c:spPr>
        <a:noFill/>
        <a:ln>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b="1">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r>
              <a:rPr lang="en-US"/>
              <a:t>October 2015</a:t>
            </a:r>
          </a:p>
        </c:rich>
      </c:tx>
      <c:overlay val="0"/>
      <c:spPr>
        <a:noFill/>
        <a:ln>
          <a:noFill/>
        </a:ln>
        <a:effectLst/>
      </c:spPr>
      <c:txPr>
        <a:bodyPr rot="0" spcFirstLastPara="1" vertOverflow="ellipsis" vert="horz" wrap="square" anchor="ctr" anchorCtr="1"/>
        <a:lstStyle/>
        <a:p>
          <a:pPr>
            <a:defRPr sz="168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scatterChart>
        <c:scatterStyle val="lineMarker"/>
        <c:varyColors val="0"/>
        <c:ser>
          <c:idx val="0"/>
          <c:order val="0"/>
          <c:tx>
            <c:strRef>
              <c:f>'Missing O2 Flux if Redfield'!$B$12</c:f>
              <c:strCache>
                <c:ptCount val="1"/>
                <c:pt idx="0">
                  <c:v>Implied Missing O2 Flux (µmol*kg-1*hr-1)</c:v>
                </c:pt>
              </c:strCache>
            </c:strRef>
          </c:tx>
          <c:spPr>
            <a:ln w="25400" cap="rnd">
              <a:noFill/>
              <a:round/>
            </a:ln>
            <a:effectLst/>
          </c:spPr>
          <c:marker>
            <c:symbol val="circle"/>
            <c:size val="5"/>
            <c:spPr>
              <a:solidFill>
                <a:schemeClr val="accent1"/>
              </a:solidFill>
              <a:ln w="9525">
                <a:solidFill>
                  <a:schemeClr val="accent1"/>
                </a:solidFill>
              </a:ln>
              <a:effectLst/>
            </c:spPr>
          </c:marker>
          <c:errBars>
            <c:errDir val="y"/>
            <c:errBarType val="both"/>
            <c:errValType val="cust"/>
            <c:noEndCap val="0"/>
            <c:plus>
              <c:numRef>
                <c:f>'Missing O2 Flux if Redfield'!$C$43:$C$53</c:f>
                <c:numCache>
                  <c:formatCode>General</c:formatCode>
                  <c:ptCount val="11"/>
                  <c:pt idx="0">
                    <c:v>8.9768436253763699</c:v>
                  </c:pt>
                  <c:pt idx="1">
                    <c:v>7.56558740474369</c:v>
                  </c:pt>
                  <c:pt idx="2">
                    <c:v>7.6281135332455898</c:v>
                  </c:pt>
                  <c:pt idx="3">
                    <c:v>7.6883409103195399</c:v>
                  </c:pt>
                  <c:pt idx="4">
                    <c:v>7.6959826669632196</c:v>
                  </c:pt>
                  <c:pt idx="5">
                    <c:v>8.9694396163021093</c:v>
                  </c:pt>
                  <c:pt idx="6">
                    <c:v>3.9375746614726101</c:v>
                  </c:pt>
                  <c:pt idx="7">
                    <c:v>7.3190062084994398</c:v>
                  </c:pt>
                  <c:pt idx="8">
                    <c:v>7.6560553536349696</c:v>
                  </c:pt>
                  <c:pt idx="9">
                    <c:v>7.9869009074832897</c:v>
                  </c:pt>
                  <c:pt idx="10">
                    <c:v>7.6842160524683498</c:v>
                  </c:pt>
                </c:numCache>
              </c:numRef>
            </c:plus>
            <c:minus>
              <c:numRef>
                <c:f>'Missing O2 Flux if Redfield'!$C$43:$C$53</c:f>
                <c:numCache>
                  <c:formatCode>General</c:formatCode>
                  <c:ptCount val="11"/>
                  <c:pt idx="0">
                    <c:v>8.9768436253763699</c:v>
                  </c:pt>
                  <c:pt idx="1">
                    <c:v>7.56558740474369</c:v>
                  </c:pt>
                  <c:pt idx="2">
                    <c:v>7.6281135332455898</c:v>
                  </c:pt>
                  <c:pt idx="3">
                    <c:v>7.6883409103195399</c:v>
                  </c:pt>
                  <c:pt idx="4">
                    <c:v>7.6959826669632196</c:v>
                  </c:pt>
                  <c:pt idx="5">
                    <c:v>8.9694396163021093</c:v>
                  </c:pt>
                  <c:pt idx="6">
                    <c:v>3.9375746614726101</c:v>
                  </c:pt>
                  <c:pt idx="7">
                    <c:v>7.3190062084994398</c:v>
                  </c:pt>
                  <c:pt idx="8">
                    <c:v>7.6560553536349696</c:v>
                  </c:pt>
                  <c:pt idx="9">
                    <c:v>7.9869009074832897</c:v>
                  </c:pt>
                  <c:pt idx="10">
                    <c:v>7.6842160524683498</c:v>
                  </c:pt>
                </c:numCache>
              </c:numRef>
            </c:minus>
            <c:spPr>
              <a:noFill/>
              <a:ln w="9525" cap="flat" cmpd="sng" algn="ctr">
                <a:solidFill>
                  <a:schemeClr val="tx1">
                    <a:lumMod val="65000"/>
                    <a:lumOff val="35000"/>
                  </a:schemeClr>
                </a:solidFill>
                <a:round/>
              </a:ln>
              <a:effectLst/>
            </c:spPr>
          </c:errBars>
          <c:xVal>
            <c:numRef>
              <c:f>'Missing O2 Flux if Redfield'!$A$43:$A$53</c:f>
              <c:numCache>
                <c:formatCode>h:mm;@</c:formatCode>
                <c:ptCount val="11"/>
                <c:pt idx="0">
                  <c:v>42300.25</c:v>
                </c:pt>
                <c:pt idx="1">
                  <c:v>42300.333333333336</c:v>
                </c:pt>
                <c:pt idx="2">
                  <c:v>42300.416666666664</c:v>
                </c:pt>
                <c:pt idx="3">
                  <c:v>42300.5</c:v>
                </c:pt>
                <c:pt idx="4">
                  <c:v>42300.583333333336</c:v>
                </c:pt>
                <c:pt idx="5">
                  <c:v>42300.666666666664</c:v>
                </c:pt>
                <c:pt idx="6">
                  <c:v>42300.739583333336</c:v>
                </c:pt>
                <c:pt idx="7">
                  <c:v>42300.916666666664</c:v>
                </c:pt>
                <c:pt idx="8">
                  <c:v>42301.00277777778</c:v>
                </c:pt>
                <c:pt idx="9">
                  <c:v>42301.086111111108</c:v>
                </c:pt>
                <c:pt idx="10">
                  <c:v>42301.166666666664</c:v>
                </c:pt>
              </c:numCache>
            </c:numRef>
          </c:xVal>
          <c:yVal>
            <c:numRef>
              <c:f>'Missing O2 Flux if Redfield'!$B$43:$B$53</c:f>
              <c:numCache>
                <c:formatCode>General</c:formatCode>
                <c:ptCount val="11"/>
                <c:pt idx="0">
                  <c:v>4.2793976233414579</c:v>
                </c:pt>
                <c:pt idx="1">
                  <c:v>-1.9336862866811337</c:v>
                </c:pt>
                <c:pt idx="2">
                  <c:v>0.33329713643380332</c:v>
                </c:pt>
                <c:pt idx="3">
                  <c:v>-4.9198805658696116</c:v>
                </c:pt>
                <c:pt idx="4">
                  <c:v>-2.8969436736957759</c:v>
                </c:pt>
                <c:pt idx="5">
                  <c:v>-0.97081468110586755</c:v>
                </c:pt>
                <c:pt idx="6">
                  <c:v>12.110430013044317</c:v>
                </c:pt>
                <c:pt idx="7">
                  <c:v>17.068388850750491</c:v>
                </c:pt>
                <c:pt idx="8">
                  <c:v>26.250525751672722</c:v>
                </c:pt>
                <c:pt idx="9">
                  <c:v>22.560201882899911</c:v>
                </c:pt>
                <c:pt idx="10">
                  <c:v>24.527427285837032</c:v>
                </c:pt>
              </c:numCache>
            </c:numRef>
          </c:yVal>
          <c:smooth val="0"/>
          <c:extLst>
            <c:ext xmlns:c16="http://schemas.microsoft.com/office/drawing/2014/chart" uri="{C3380CC4-5D6E-409C-BE32-E72D297353CC}">
              <c16:uniqueId val="{00000000-6DCC-DF47-BF96-A5A0BCA77E30}"/>
            </c:ext>
          </c:extLst>
        </c:ser>
        <c:dLbls>
          <c:showLegendKey val="0"/>
          <c:showVal val="0"/>
          <c:showCatName val="0"/>
          <c:showSerName val="0"/>
          <c:showPercent val="0"/>
          <c:showBubbleSize val="0"/>
        </c:dLbls>
        <c:axId val="871586543"/>
        <c:axId val="1015367983"/>
      </c:scatterChart>
      <c:valAx>
        <c:axId val="871586543"/>
        <c:scaling>
          <c:orientation val="minMax"/>
        </c:scaling>
        <c:delete val="0"/>
        <c:axPos val="b"/>
        <c:numFmt formatCode="h:mm;@" sourceLinked="1"/>
        <c:majorTickMark val="cross"/>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015367983"/>
        <c:crosses val="autoZero"/>
        <c:crossBetween val="midCat"/>
        <c:majorUnit val="0.16666666700000002"/>
      </c:valAx>
      <c:valAx>
        <c:axId val="1015367983"/>
        <c:scaling>
          <c:orientation val="minMax"/>
        </c:scaling>
        <c:delete val="0"/>
        <c:axPos val="l"/>
        <c:title>
          <c:tx>
            <c:rich>
              <a:bodyPr rot="-54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a:t>Implied Missing O2 Flux</a:t>
                </a:r>
              </a:p>
              <a:p>
                <a:pPr>
                  <a:defRPr/>
                </a:pPr>
                <a:r>
                  <a:rPr lang="en-US"/>
                  <a:t>(µmol*kg*hr-1)</a:t>
                </a:r>
              </a:p>
            </c:rich>
          </c:tx>
          <c:layout>
            <c:manualLayout>
              <c:xMode val="edge"/>
              <c:yMode val="edge"/>
              <c:x val="1.3916500994035786E-2"/>
              <c:y val="0.16813648293963257"/>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General"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871586543"/>
        <c:crosses val="autoZero"/>
        <c:crossBetween val="midCat"/>
      </c:valAx>
      <c:spPr>
        <a:noFill/>
        <a:ln>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b="1">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r>
              <a:rPr lang="en-US"/>
              <a:t>March 2017</a:t>
            </a:r>
          </a:p>
        </c:rich>
      </c:tx>
      <c:overlay val="0"/>
      <c:spPr>
        <a:noFill/>
        <a:ln>
          <a:noFill/>
        </a:ln>
        <a:effectLst/>
      </c:spPr>
      <c:txPr>
        <a:bodyPr rot="0" spcFirstLastPara="1" vertOverflow="ellipsis" vert="horz" wrap="square" anchor="ctr" anchorCtr="1"/>
        <a:lstStyle/>
        <a:p>
          <a:pPr>
            <a:defRPr sz="168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scatterChart>
        <c:scatterStyle val="lineMarker"/>
        <c:varyColors val="0"/>
        <c:ser>
          <c:idx val="0"/>
          <c:order val="0"/>
          <c:tx>
            <c:strRef>
              <c:f>'Missing O2 Flux if Redfield'!$B$12</c:f>
              <c:strCache>
                <c:ptCount val="1"/>
                <c:pt idx="0">
                  <c:v>Implied Missing O2 Flux (µmol*kg-1*hr-1)</c:v>
                </c:pt>
              </c:strCache>
            </c:strRef>
          </c:tx>
          <c:spPr>
            <a:ln w="25400" cap="rnd">
              <a:noFill/>
              <a:round/>
            </a:ln>
            <a:effectLst/>
          </c:spPr>
          <c:marker>
            <c:symbol val="circle"/>
            <c:size val="5"/>
            <c:spPr>
              <a:solidFill>
                <a:schemeClr val="accent1"/>
              </a:solidFill>
              <a:ln w="9525">
                <a:solidFill>
                  <a:schemeClr val="accent1"/>
                </a:solidFill>
              </a:ln>
              <a:effectLst/>
            </c:spPr>
          </c:marker>
          <c:errBars>
            <c:errDir val="y"/>
            <c:errBarType val="both"/>
            <c:errValType val="cust"/>
            <c:noEndCap val="0"/>
            <c:plus>
              <c:numRef>
                <c:f>'Missing O2 Flux if Redfield'!$C$59:$C$69</c:f>
                <c:numCache>
                  <c:formatCode>General</c:formatCode>
                  <c:ptCount val="11"/>
                  <c:pt idx="0">
                    <c:v>8.8651469579043294</c:v>
                  </c:pt>
                  <c:pt idx="1">
                    <c:v>8.8082232330501196</c:v>
                  </c:pt>
                  <c:pt idx="2">
                    <c:v>8.8188215383262207</c:v>
                  </c:pt>
                  <c:pt idx="3">
                    <c:v>8.8456063400238101</c:v>
                  </c:pt>
                  <c:pt idx="4">
                    <c:v>8.7997363993663207</c:v>
                  </c:pt>
                  <c:pt idx="5">
                    <c:v>8.8144756125029904</c:v>
                  </c:pt>
                  <c:pt idx="6">
                    <c:v>8.79598313397703</c:v>
                  </c:pt>
                  <c:pt idx="7">
                    <c:v>3.84697214820482</c:v>
                  </c:pt>
                  <c:pt idx="8">
                    <c:v>8.8281708514762496</c:v>
                  </c:pt>
                  <c:pt idx="9">
                    <c:v>8.78130249126332</c:v>
                  </c:pt>
                  <c:pt idx="10">
                    <c:v>8.7802233859727004</c:v>
                  </c:pt>
                </c:numCache>
              </c:numRef>
            </c:plus>
            <c:minus>
              <c:numRef>
                <c:f>'Missing O2 Flux if Redfield'!$C$59:$C$69</c:f>
                <c:numCache>
                  <c:formatCode>General</c:formatCode>
                  <c:ptCount val="11"/>
                  <c:pt idx="0">
                    <c:v>8.8651469579043294</c:v>
                  </c:pt>
                  <c:pt idx="1">
                    <c:v>8.8082232330501196</c:v>
                  </c:pt>
                  <c:pt idx="2">
                    <c:v>8.8188215383262207</c:v>
                  </c:pt>
                  <c:pt idx="3">
                    <c:v>8.8456063400238101</c:v>
                  </c:pt>
                  <c:pt idx="4">
                    <c:v>8.7997363993663207</c:v>
                  </c:pt>
                  <c:pt idx="5">
                    <c:v>8.8144756125029904</c:v>
                  </c:pt>
                  <c:pt idx="6">
                    <c:v>8.79598313397703</c:v>
                  </c:pt>
                  <c:pt idx="7">
                    <c:v>3.84697214820482</c:v>
                  </c:pt>
                  <c:pt idx="8">
                    <c:v>8.8281708514762496</c:v>
                  </c:pt>
                  <c:pt idx="9">
                    <c:v>8.78130249126332</c:v>
                  </c:pt>
                  <c:pt idx="10">
                    <c:v>8.7802233859727004</c:v>
                  </c:pt>
                </c:numCache>
              </c:numRef>
            </c:minus>
            <c:spPr>
              <a:noFill/>
              <a:ln w="9525" cap="flat" cmpd="sng" algn="ctr">
                <a:solidFill>
                  <a:schemeClr val="tx1">
                    <a:lumMod val="65000"/>
                    <a:lumOff val="35000"/>
                  </a:schemeClr>
                </a:solidFill>
                <a:round/>
              </a:ln>
              <a:effectLst/>
            </c:spPr>
          </c:errBars>
          <c:xVal>
            <c:numRef>
              <c:f>'Missing O2 Flux if Redfield'!$A$59:$A$69</c:f>
              <c:numCache>
                <c:formatCode>h:mm;@</c:formatCode>
                <c:ptCount val="11"/>
                <c:pt idx="0">
                  <c:v>42817.5</c:v>
                </c:pt>
                <c:pt idx="1">
                  <c:v>42817.583333333336</c:v>
                </c:pt>
                <c:pt idx="2">
                  <c:v>42817.666666666672</c:v>
                </c:pt>
                <c:pt idx="3">
                  <c:v>42817.750000000007</c:v>
                </c:pt>
                <c:pt idx="4">
                  <c:v>42817.833333333343</c:v>
                </c:pt>
                <c:pt idx="5">
                  <c:v>42817.916666666679</c:v>
                </c:pt>
                <c:pt idx="6">
                  <c:v>42818.000000000015</c:v>
                </c:pt>
                <c:pt idx="7">
                  <c:v>42818.08333333335</c:v>
                </c:pt>
                <c:pt idx="8">
                  <c:v>42818.250000000015</c:v>
                </c:pt>
                <c:pt idx="9">
                  <c:v>42818.33333333335</c:v>
                </c:pt>
                <c:pt idx="10">
                  <c:v>42818.416666666686</c:v>
                </c:pt>
              </c:numCache>
            </c:numRef>
          </c:xVal>
          <c:yVal>
            <c:numRef>
              <c:f>'Missing O2 Flux if Redfield'!$B$59:$B$69</c:f>
              <c:numCache>
                <c:formatCode>General</c:formatCode>
                <c:ptCount val="11"/>
                <c:pt idx="0">
                  <c:v>0.4693352749821873</c:v>
                </c:pt>
                <c:pt idx="1">
                  <c:v>-13.490459868009246</c:v>
                </c:pt>
                <c:pt idx="2">
                  <c:v>4.586612337601661</c:v>
                </c:pt>
                <c:pt idx="3">
                  <c:v>27.28014310906627</c:v>
                </c:pt>
                <c:pt idx="4">
                  <c:v>17.376749046686008</c:v>
                </c:pt>
                <c:pt idx="5">
                  <c:v>10.908955332513127</c:v>
                </c:pt>
                <c:pt idx="6">
                  <c:v>5.3292584712266171</c:v>
                </c:pt>
                <c:pt idx="7">
                  <c:v>7.5666902357988937</c:v>
                </c:pt>
                <c:pt idx="8">
                  <c:v>-13.501968587780471</c:v>
                </c:pt>
                <c:pt idx="9">
                  <c:v>-0.55589224155576744</c:v>
                </c:pt>
                <c:pt idx="10">
                  <c:v>-22.125849931769416</c:v>
                </c:pt>
              </c:numCache>
            </c:numRef>
          </c:yVal>
          <c:smooth val="0"/>
          <c:extLst>
            <c:ext xmlns:c16="http://schemas.microsoft.com/office/drawing/2014/chart" uri="{C3380CC4-5D6E-409C-BE32-E72D297353CC}">
              <c16:uniqueId val="{00000000-6DCC-DF47-BF96-A5A0BCA77E30}"/>
            </c:ext>
          </c:extLst>
        </c:ser>
        <c:dLbls>
          <c:showLegendKey val="0"/>
          <c:showVal val="0"/>
          <c:showCatName val="0"/>
          <c:showSerName val="0"/>
          <c:showPercent val="0"/>
          <c:showBubbleSize val="0"/>
        </c:dLbls>
        <c:axId val="871586543"/>
        <c:axId val="1015367983"/>
      </c:scatterChart>
      <c:valAx>
        <c:axId val="871586543"/>
        <c:scaling>
          <c:orientation val="minMax"/>
        </c:scaling>
        <c:delete val="0"/>
        <c:axPos val="b"/>
        <c:numFmt formatCode="h:mm;@" sourceLinked="1"/>
        <c:majorTickMark val="cross"/>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015367983"/>
        <c:crosses val="autoZero"/>
        <c:crossBetween val="midCat"/>
        <c:majorUnit val="0.16666666700000002"/>
      </c:valAx>
      <c:valAx>
        <c:axId val="1015367983"/>
        <c:scaling>
          <c:orientation val="minMax"/>
        </c:scaling>
        <c:delete val="0"/>
        <c:axPos val="l"/>
        <c:title>
          <c:tx>
            <c:rich>
              <a:bodyPr rot="-54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a:t>Implied Missing O2 Flux</a:t>
                </a:r>
              </a:p>
              <a:p>
                <a:pPr>
                  <a:defRPr/>
                </a:pPr>
                <a:r>
                  <a:rPr lang="en-US"/>
                  <a:t>(µmol*kg*hr-1)</a:t>
                </a:r>
              </a:p>
            </c:rich>
          </c:tx>
          <c:layout>
            <c:manualLayout>
              <c:xMode val="edge"/>
              <c:yMode val="edge"/>
              <c:x val="1.3916500994035786E-2"/>
              <c:y val="0.16813648293963257"/>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General"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871586543"/>
        <c:crosses val="autoZero"/>
        <c:crossBetween val="midCat"/>
      </c:valAx>
      <c:spPr>
        <a:noFill/>
        <a:ln>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b="1">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r>
              <a:rPr lang="en-US"/>
              <a:t>Gas Exchange Piston Velocity vs Wind Speed </a:t>
            </a:r>
          </a:p>
        </c:rich>
      </c:tx>
      <c:overlay val="0"/>
      <c:spPr>
        <a:noFill/>
        <a:ln>
          <a:noFill/>
        </a:ln>
        <a:effectLst/>
      </c:spPr>
      <c:txPr>
        <a:bodyPr rot="0" spcFirstLastPara="1" vertOverflow="ellipsis" vert="horz" wrap="square" anchor="ctr" anchorCtr="1"/>
        <a:lstStyle/>
        <a:p>
          <a:pPr>
            <a:defRPr sz="192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12376538349372995"/>
          <c:y val="0.12603289046782862"/>
          <c:w val="0.84104943132108489"/>
          <c:h val="0.67399331520817496"/>
        </c:manualLayout>
      </c:layout>
      <c:scatterChart>
        <c:scatterStyle val="lineMarker"/>
        <c:varyColors val="0"/>
        <c:ser>
          <c:idx val="0"/>
          <c:order val="0"/>
          <c:tx>
            <c:v>Wanninkhof 1992 Regression</c:v>
          </c:tx>
          <c:spPr>
            <a:ln w="19050" cap="rnd">
              <a:noFill/>
              <a:round/>
            </a:ln>
            <a:effectLst/>
          </c:spPr>
          <c:marker>
            <c:symbol val="circle"/>
            <c:size val="5"/>
            <c:spPr>
              <a:solidFill>
                <a:schemeClr val="accent1"/>
              </a:solidFill>
              <a:ln w="9525">
                <a:solidFill>
                  <a:schemeClr val="accent1"/>
                </a:solidFill>
              </a:ln>
              <a:effectLst/>
            </c:spPr>
          </c:marker>
          <c:xVal>
            <c:numRef>
              <c:f>'Piston Velocity'!$A$21:$A$220</c:f>
              <c:numCache>
                <c:formatCode>General</c:formatCode>
                <c:ptCount val="200"/>
                <c:pt idx="0">
                  <c:v>0.1</c:v>
                </c:pt>
                <c:pt idx="1">
                  <c:v>0.2</c:v>
                </c:pt>
                <c:pt idx="2">
                  <c:v>0.3</c:v>
                </c:pt>
                <c:pt idx="3">
                  <c:v>0.4</c:v>
                </c:pt>
                <c:pt idx="4">
                  <c:v>0.5</c:v>
                </c:pt>
                <c:pt idx="5">
                  <c:v>0.6</c:v>
                </c:pt>
                <c:pt idx="6">
                  <c:v>0.7</c:v>
                </c:pt>
                <c:pt idx="7">
                  <c:v>0.8</c:v>
                </c:pt>
                <c:pt idx="8">
                  <c:v>0.9</c:v>
                </c:pt>
                <c:pt idx="9">
                  <c:v>1</c:v>
                </c:pt>
                <c:pt idx="10">
                  <c:v>1.1000000000000001</c:v>
                </c:pt>
                <c:pt idx="11">
                  <c:v>1.2</c:v>
                </c:pt>
                <c:pt idx="12">
                  <c:v>1.3</c:v>
                </c:pt>
                <c:pt idx="13">
                  <c:v>1.4</c:v>
                </c:pt>
                <c:pt idx="14">
                  <c:v>1.5</c:v>
                </c:pt>
                <c:pt idx="15">
                  <c:v>1.6</c:v>
                </c:pt>
                <c:pt idx="16">
                  <c:v>1.7</c:v>
                </c:pt>
                <c:pt idx="17">
                  <c:v>1.8</c:v>
                </c:pt>
                <c:pt idx="18">
                  <c:v>1.9</c:v>
                </c:pt>
                <c:pt idx="19">
                  <c:v>2</c:v>
                </c:pt>
                <c:pt idx="20">
                  <c:v>2.1</c:v>
                </c:pt>
                <c:pt idx="21">
                  <c:v>2.2000000000000002</c:v>
                </c:pt>
                <c:pt idx="22">
                  <c:v>2.2999999999999998</c:v>
                </c:pt>
                <c:pt idx="23">
                  <c:v>2.4</c:v>
                </c:pt>
                <c:pt idx="24">
                  <c:v>2.5</c:v>
                </c:pt>
                <c:pt idx="25">
                  <c:v>2.6</c:v>
                </c:pt>
                <c:pt idx="26">
                  <c:v>2.7</c:v>
                </c:pt>
                <c:pt idx="27">
                  <c:v>2.8</c:v>
                </c:pt>
                <c:pt idx="28">
                  <c:v>2.9</c:v>
                </c:pt>
                <c:pt idx="29">
                  <c:v>3</c:v>
                </c:pt>
                <c:pt idx="30">
                  <c:v>3.1</c:v>
                </c:pt>
                <c:pt idx="31">
                  <c:v>3.2</c:v>
                </c:pt>
                <c:pt idx="32">
                  <c:v>3.3</c:v>
                </c:pt>
                <c:pt idx="33">
                  <c:v>3.4</c:v>
                </c:pt>
                <c:pt idx="34">
                  <c:v>3.5</c:v>
                </c:pt>
                <c:pt idx="35">
                  <c:v>3.6</c:v>
                </c:pt>
                <c:pt idx="36">
                  <c:v>3.7</c:v>
                </c:pt>
                <c:pt idx="37">
                  <c:v>3.8</c:v>
                </c:pt>
                <c:pt idx="38">
                  <c:v>3.9</c:v>
                </c:pt>
                <c:pt idx="39">
                  <c:v>4</c:v>
                </c:pt>
                <c:pt idx="40">
                  <c:v>4.0999999999999996</c:v>
                </c:pt>
                <c:pt idx="41">
                  <c:v>4.2</c:v>
                </c:pt>
                <c:pt idx="42">
                  <c:v>4.3</c:v>
                </c:pt>
                <c:pt idx="43">
                  <c:v>4.4000000000000004</c:v>
                </c:pt>
                <c:pt idx="44">
                  <c:v>4.5</c:v>
                </c:pt>
                <c:pt idx="45">
                  <c:v>4.5999999999999996</c:v>
                </c:pt>
                <c:pt idx="46">
                  <c:v>4.7</c:v>
                </c:pt>
                <c:pt idx="47">
                  <c:v>4.8</c:v>
                </c:pt>
                <c:pt idx="48">
                  <c:v>4.9000000000000004</c:v>
                </c:pt>
                <c:pt idx="49">
                  <c:v>5</c:v>
                </c:pt>
                <c:pt idx="50">
                  <c:v>5.0999999999999996</c:v>
                </c:pt>
                <c:pt idx="51">
                  <c:v>5.2</c:v>
                </c:pt>
                <c:pt idx="52">
                  <c:v>5.3</c:v>
                </c:pt>
                <c:pt idx="53">
                  <c:v>5.4</c:v>
                </c:pt>
                <c:pt idx="54">
                  <c:v>5.5</c:v>
                </c:pt>
                <c:pt idx="55">
                  <c:v>5.6</c:v>
                </c:pt>
                <c:pt idx="56">
                  <c:v>5.7</c:v>
                </c:pt>
                <c:pt idx="57">
                  <c:v>5.8</c:v>
                </c:pt>
                <c:pt idx="58">
                  <c:v>5.9</c:v>
                </c:pt>
                <c:pt idx="59">
                  <c:v>6</c:v>
                </c:pt>
                <c:pt idx="60">
                  <c:v>6.1</c:v>
                </c:pt>
                <c:pt idx="61">
                  <c:v>6.2</c:v>
                </c:pt>
                <c:pt idx="62">
                  <c:v>6.3</c:v>
                </c:pt>
                <c:pt idx="63">
                  <c:v>6.4</c:v>
                </c:pt>
                <c:pt idx="64">
                  <c:v>6.5</c:v>
                </c:pt>
                <c:pt idx="65">
                  <c:v>6.6</c:v>
                </c:pt>
                <c:pt idx="66">
                  <c:v>6.7</c:v>
                </c:pt>
                <c:pt idx="67">
                  <c:v>6.8</c:v>
                </c:pt>
                <c:pt idx="68">
                  <c:v>6.9</c:v>
                </c:pt>
                <c:pt idx="69">
                  <c:v>7</c:v>
                </c:pt>
                <c:pt idx="70">
                  <c:v>7.1</c:v>
                </c:pt>
                <c:pt idx="71">
                  <c:v>7.2</c:v>
                </c:pt>
                <c:pt idx="72">
                  <c:v>7.3</c:v>
                </c:pt>
                <c:pt idx="73">
                  <c:v>7.4</c:v>
                </c:pt>
                <c:pt idx="74">
                  <c:v>7.5</c:v>
                </c:pt>
                <c:pt idx="75">
                  <c:v>7.6</c:v>
                </c:pt>
                <c:pt idx="76">
                  <c:v>7.7</c:v>
                </c:pt>
                <c:pt idx="77">
                  <c:v>7.8</c:v>
                </c:pt>
                <c:pt idx="78">
                  <c:v>7.9</c:v>
                </c:pt>
                <c:pt idx="79">
                  <c:v>8</c:v>
                </c:pt>
                <c:pt idx="80">
                  <c:v>8.1</c:v>
                </c:pt>
                <c:pt idx="81">
                  <c:v>8.1999999999999993</c:v>
                </c:pt>
                <c:pt idx="82">
                  <c:v>8.3000000000000007</c:v>
                </c:pt>
                <c:pt idx="83">
                  <c:v>8.4</c:v>
                </c:pt>
                <c:pt idx="84">
                  <c:v>8.5</c:v>
                </c:pt>
                <c:pt idx="85">
                  <c:v>8.6</c:v>
                </c:pt>
                <c:pt idx="86">
                  <c:v>8.6999999999999993</c:v>
                </c:pt>
                <c:pt idx="87">
                  <c:v>8.8000000000000007</c:v>
                </c:pt>
                <c:pt idx="88">
                  <c:v>8.9</c:v>
                </c:pt>
                <c:pt idx="89">
                  <c:v>9</c:v>
                </c:pt>
                <c:pt idx="90">
                  <c:v>9.1</c:v>
                </c:pt>
                <c:pt idx="91">
                  <c:v>9.1999999999999993</c:v>
                </c:pt>
                <c:pt idx="92">
                  <c:v>9.3000000000000007</c:v>
                </c:pt>
                <c:pt idx="93">
                  <c:v>9.4</c:v>
                </c:pt>
                <c:pt idx="94">
                  <c:v>9.5</c:v>
                </c:pt>
                <c:pt idx="95">
                  <c:v>9.6</c:v>
                </c:pt>
                <c:pt idx="96">
                  <c:v>9.6999999999999993</c:v>
                </c:pt>
                <c:pt idx="97">
                  <c:v>9.8000000000000007</c:v>
                </c:pt>
                <c:pt idx="98">
                  <c:v>9.9</c:v>
                </c:pt>
                <c:pt idx="99">
                  <c:v>10</c:v>
                </c:pt>
                <c:pt idx="100">
                  <c:v>10.1</c:v>
                </c:pt>
                <c:pt idx="101">
                  <c:v>10.199999999999999</c:v>
                </c:pt>
                <c:pt idx="102">
                  <c:v>10.3</c:v>
                </c:pt>
                <c:pt idx="103">
                  <c:v>10.4</c:v>
                </c:pt>
                <c:pt idx="104">
                  <c:v>10.5</c:v>
                </c:pt>
                <c:pt idx="105">
                  <c:v>10.6</c:v>
                </c:pt>
                <c:pt idx="106">
                  <c:v>10.7</c:v>
                </c:pt>
                <c:pt idx="107">
                  <c:v>10.8</c:v>
                </c:pt>
                <c:pt idx="108">
                  <c:v>10.9</c:v>
                </c:pt>
                <c:pt idx="109">
                  <c:v>11</c:v>
                </c:pt>
                <c:pt idx="110">
                  <c:v>11.1</c:v>
                </c:pt>
                <c:pt idx="111">
                  <c:v>11.2</c:v>
                </c:pt>
                <c:pt idx="112">
                  <c:v>11.3</c:v>
                </c:pt>
                <c:pt idx="113">
                  <c:v>11.4</c:v>
                </c:pt>
                <c:pt idx="114">
                  <c:v>11.5</c:v>
                </c:pt>
                <c:pt idx="115">
                  <c:v>11.6</c:v>
                </c:pt>
                <c:pt idx="116">
                  <c:v>11.7</c:v>
                </c:pt>
                <c:pt idx="117">
                  <c:v>11.8</c:v>
                </c:pt>
                <c:pt idx="118">
                  <c:v>11.9</c:v>
                </c:pt>
                <c:pt idx="119">
                  <c:v>12</c:v>
                </c:pt>
                <c:pt idx="120">
                  <c:v>12.1</c:v>
                </c:pt>
                <c:pt idx="121">
                  <c:v>12.2</c:v>
                </c:pt>
                <c:pt idx="122">
                  <c:v>12.3</c:v>
                </c:pt>
                <c:pt idx="123">
                  <c:v>12.4</c:v>
                </c:pt>
                <c:pt idx="124">
                  <c:v>12.5</c:v>
                </c:pt>
                <c:pt idx="125">
                  <c:v>12.6</c:v>
                </c:pt>
                <c:pt idx="126">
                  <c:v>12.7</c:v>
                </c:pt>
                <c:pt idx="127">
                  <c:v>12.8</c:v>
                </c:pt>
                <c:pt idx="128">
                  <c:v>12.9</c:v>
                </c:pt>
                <c:pt idx="129">
                  <c:v>13</c:v>
                </c:pt>
                <c:pt idx="130">
                  <c:v>13.1</c:v>
                </c:pt>
                <c:pt idx="131">
                  <c:v>13.2</c:v>
                </c:pt>
                <c:pt idx="132">
                  <c:v>13.3</c:v>
                </c:pt>
                <c:pt idx="133">
                  <c:v>13.4</c:v>
                </c:pt>
                <c:pt idx="134">
                  <c:v>13.5</c:v>
                </c:pt>
                <c:pt idx="135">
                  <c:v>13.6</c:v>
                </c:pt>
                <c:pt idx="136">
                  <c:v>13.7</c:v>
                </c:pt>
                <c:pt idx="137">
                  <c:v>13.8</c:v>
                </c:pt>
                <c:pt idx="138">
                  <c:v>13.9</c:v>
                </c:pt>
                <c:pt idx="139">
                  <c:v>14</c:v>
                </c:pt>
                <c:pt idx="140">
                  <c:v>14.1</c:v>
                </c:pt>
                <c:pt idx="141">
                  <c:v>14.2</c:v>
                </c:pt>
                <c:pt idx="142">
                  <c:v>14.3</c:v>
                </c:pt>
                <c:pt idx="143">
                  <c:v>14.4</c:v>
                </c:pt>
                <c:pt idx="144">
                  <c:v>14.5</c:v>
                </c:pt>
                <c:pt idx="145">
                  <c:v>14.6</c:v>
                </c:pt>
                <c:pt idx="146">
                  <c:v>14.7</c:v>
                </c:pt>
                <c:pt idx="147">
                  <c:v>14.8</c:v>
                </c:pt>
                <c:pt idx="148">
                  <c:v>14.9</c:v>
                </c:pt>
                <c:pt idx="149">
                  <c:v>15</c:v>
                </c:pt>
                <c:pt idx="150">
                  <c:v>15.1</c:v>
                </c:pt>
                <c:pt idx="151">
                  <c:v>15.2</c:v>
                </c:pt>
                <c:pt idx="152">
                  <c:v>15.3</c:v>
                </c:pt>
                <c:pt idx="153">
                  <c:v>15.4</c:v>
                </c:pt>
                <c:pt idx="154">
                  <c:v>15.5</c:v>
                </c:pt>
                <c:pt idx="155">
                  <c:v>15.6</c:v>
                </c:pt>
                <c:pt idx="156">
                  <c:v>15.7</c:v>
                </c:pt>
                <c:pt idx="157">
                  <c:v>15.8</c:v>
                </c:pt>
                <c:pt idx="158">
                  <c:v>15.9</c:v>
                </c:pt>
                <c:pt idx="159">
                  <c:v>16</c:v>
                </c:pt>
                <c:pt idx="160">
                  <c:v>16.100000000000001</c:v>
                </c:pt>
                <c:pt idx="161">
                  <c:v>16.2</c:v>
                </c:pt>
                <c:pt idx="162">
                  <c:v>16.3</c:v>
                </c:pt>
                <c:pt idx="163">
                  <c:v>16.399999999999999</c:v>
                </c:pt>
                <c:pt idx="164">
                  <c:v>16.5</c:v>
                </c:pt>
                <c:pt idx="165">
                  <c:v>16.600000000000001</c:v>
                </c:pt>
                <c:pt idx="166">
                  <c:v>16.7</c:v>
                </c:pt>
                <c:pt idx="167">
                  <c:v>16.8</c:v>
                </c:pt>
                <c:pt idx="168">
                  <c:v>16.899999999999999</c:v>
                </c:pt>
                <c:pt idx="169">
                  <c:v>17</c:v>
                </c:pt>
                <c:pt idx="170">
                  <c:v>17.100000000000001</c:v>
                </c:pt>
                <c:pt idx="171">
                  <c:v>17.2</c:v>
                </c:pt>
                <c:pt idx="172">
                  <c:v>17.3</c:v>
                </c:pt>
                <c:pt idx="173">
                  <c:v>17.399999999999999</c:v>
                </c:pt>
                <c:pt idx="174">
                  <c:v>17.5</c:v>
                </c:pt>
                <c:pt idx="175">
                  <c:v>17.600000000000001</c:v>
                </c:pt>
                <c:pt idx="176">
                  <c:v>17.7</c:v>
                </c:pt>
                <c:pt idx="177">
                  <c:v>17.8</c:v>
                </c:pt>
                <c:pt idx="178">
                  <c:v>17.899999999999999</c:v>
                </c:pt>
                <c:pt idx="179">
                  <c:v>18</c:v>
                </c:pt>
                <c:pt idx="180">
                  <c:v>18.100000000000001</c:v>
                </c:pt>
                <c:pt idx="181">
                  <c:v>18.2</c:v>
                </c:pt>
                <c:pt idx="182">
                  <c:v>18.3</c:v>
                </c:pt>
                <c:pt idx="183">
                  <c:v>18.399999999999999</c:v>
                </c:pt>
                <c:pt idx="184">
                  <c:v>18.5</c:v>
                </c:pt>
                <c:pt idx="185">
                  <c:v>18.600000000000001</c:v>
                </c:pt>
                <c:pt idx="186">
                  <c:v>18.7</c:v>
                </c:pt>
                <c:pt idx="187">
                  <c:v>18.8</c:v>
                </c:pt>
                <c:pt idx="188">
                  <c:v>18.899999999999999</c:v>
                </c:pt>
                <c:pt idx="189">
                  <c:v>19</c:v>
                </c:pt>
                <c:pt idx="190">
                  <c:v>19.100000000000001</c:v>
                </c:pt>
                <c:pt idx="191">
                  <c:v>19.2</c:v>
                </c:pt>
                <c:pt idx="192">
                  <c:v>19.3</c:v>
                </c:pt>
                <c:pt idx="193">
                  <c:v>19.399999999999999</c:v>
                </c:pt>
                <c:pt idx="194">
                  <c:v>19.5</c:v>
                </c:pt>
                <c:pt idx="195">
                  <c:v>19.600000000000001</c:v>
                </c:pt>
                <c:pt idx="196">
                  <c:v>19.7</c:v>
                </c:pt>
                <c:pt idx="197">
                  <c:v>19.8</c:v>
                </c:pt>
                <c:pt idx="198">
                  <c:v>19.899999999999999</c:v>
                </c:pt>
                <c:pt idx="199">
                  <c:v>20</c:v>
                </c:pt>
              </c:numCache>
            </c:numRef>
          </c:xVal>
          <c:yVal>
            <c:numRef>
              <c:f>'Piston Velocity'!$C$21:$C$220</c:f>
              <c:numCache>
                <c:formatCode>General</c:formatCode>
                <c:ptCount val="200"/>
                <c:pt idx="0">
                  <c:v>1.0308904437454987E-4</c:v>
                </c:pt>
                <c:pt idx="1">
                  <c:v>3.2129332771079497E-4</c:v>
                </c:pt>
                <c:pt idx="2">
                  <c:v>6.2472857578362473E-4</c:v>
                </c:pt>
                <c:pt idx="3">
                  <c:v>1.0013615225340187E-3</c:v>
                </c:pt>
                <c:pt idx="4">
                  <c:v>1.4438541347582673E-3</c:v>
                </c:pt>
                <c:pt idx="5">
                  <c:v>1.9470655126094028E-3</c:v>
                </c:pt>
                <c:pt idx="6">
                  <c:v>2.5071094819287707E-3</c:v>
                </c:pt>
                <c:pt idx="7">
                  <c:v>3.1209017191736678E-3</c:v>
                </c:pt>
                <c:pt idx="8">
                  <c:v>3.7859095092842702E-3</c:v>
                </c:pt>
                <c:pt idx="9">
                  <c:v>4.5000000000000005E-3</c:v>
                </c:pt>
                <c:pt idx="10">
                  <c:v>5.2613418125216048E-3</c:v>
                </c:pt>
                <c:pt idx="11">
                  <c:v>6.0683379268150432E-3</c:v>
                </c:pt>
                <c:pt idx="12">
                  <c:v>6.9195780373093874E-3</c:v>
                </c:pt>
                <c:pt idx="13">
                  <c:v>7.8138036225995373E-3</c:v>
                </c:pt>
                <c:pt idx="14">
                  <c:v>8.7498816457116796E-3</c:v>
                </c:pt>
                <c:pt idx="15">
                  <c:v>9.7267843047267287E-3</c:v>
                </c:pt>
                <c:pt idx="16">
                  <c:v>1.0743573141809903E-2</c:v>
                </c:pt>
                <c:pt idx="17">
                  <c:v>1.1799386365736672E-2</c:v>
                </c:pt>
                <c:pt idx="18">
                  <c:v>1.2893428591978704E-2</c:v>
                </c:pt>
                <c:pt idx="19">
                  <c:v>1.4024962433888996E-2</c:v>
                </c:pt>
                <c:pt idx="20">
                  <c:v>1.5193301533462027E-2</c:v>
                </c:pt>
                <c:pt idx="21">
                  <c:v>1.6397804727214436E-2</c:v>
                </c:pt>
                <c:pt idx="22">
                  <c:v>1.7637871118261834E-2</c:v>
                </c:pt>
                <c:pt idx="23">
                  <c:v>1.8912935879938846E-2</c:v>
                </c:pt>
                <c:pt idx="24">
                  <c:v>2.0222466655954476E-2</c:v>
                </c:pt>
                <c:pt idx="25">
                  <c:v>2.1565960451472774E-2</c:v>
                </c:pt>
                <c:pt idx="26">
                  <c:v>2.2942940931604438E-2</c:v>
                </c:pt>
                <c:pt idx="27">
                  <c:v>2.4352956060609835E-2</c:v>
                </c:pt>
                <c:pt idx="28">
                  <c:v>2.5795576028056683E-2</c:v>
                </c:pt>
                <c:pt idx="29">
                  <c:v>2.727039141824026E-2</c:v>
                </c:pt>
                <c:pt idx="30">
                  <c:v>2.8777011587079349E-2</c:v>
                </c:pt>
                <c:pt idx="31">
                  <c:v>3.0315063216962992E-2</c:v>
                </c:pt>
                <c:pt idx="32">
                  <c:v>3.1884189025026169E-2</c:v>
                </c:pt>
                <c:pt idx="33">
                  <c:v>3.3484046604360593E-2</c:v>
                </c:pt>
                <c:pt idx="34">
                  <c:v>3.5114307380932318E-2</c:v>
                </c:pt>
                <c:pt idx="35">
                  <c:v>3.6774655671644174E-2</c:v>
                </c:pt>
                <c:pt idx="36">
                  <c:v>3.8464787831171209E-2</c:v>
                </c:pt>
                <c:pt idx="37">
                  <c:v>4.0184411477007027E-2</c:v>
                </c:pt>
                <c:pt idx="38">
                  <c:v>4.1933244783663469E-2</c:v>
                </c:pt>
                <c:pt idx="39">
                  <c:v>4.3711015838221678E-2</c:v>
                </c:pt>
                <c:pt idx="40">
                  <c:v>4.5517462050488462E-2</c:v>
                </c:pt>
                <c:pt idx="41">
                  <c:v>4.7352329611900688E-2</c:v>
                </c:pt>
                <c:pt idx="42">
                  <c:v>4.9215372998074776E-2</c:v>
                </c:pt>
                <c:pt idx="43">
                  <c:v>5.1106354510539971E-2</c:v>
                </c:pt>
                <c:pt idx="44">
                  <c:v>5.3025043853740829E-2</c:v>
                </c:pt>
                <c:pt idx="45">
                  <c:v>5.4971217743866214E-2</c:v>
                </c:pt>
                <c:pt idx="46">
                  <c:v>5.6944659546464375E-2</c:v>
                </c:pt>
                <c:pt idx="47">
                  <c:v>5.8945158940154167E-2</c:v>
                </c:pt>
                <c:pt idx="48">
                  <c:v>6.0972511604045029E-2</c:v>
                </c:pt>
                <c:pt idx="49">
                  <c:v>6.3026518926740951E-2</c:v>
                </c:pt>
                <c:pt idx="50">
                  <c:v>6.5106987735033164E-2</c:v>
                </c:pt>
                <c:pt idx="51">
                  <c:v>6.7213730040586991E-2</c:v>
                </c:pt>
                <c:pt idx="52">
                  <c:v>6.9346562803104292E-2</c:v>
                </c:pt>
                <c:pt idx="53">
                  <c:v>7.1505307708596991E-2</c:v>
                </c:pt>
                <c:pt idx="54">
                  <c:v>7.3689790961543655E-2</c:v>
                </c:pt>
                <c:pt idx="55">
                  <c:v>7.5899843089822755E-2</c:v>
                </c:pt>
                <c:pt idx="56">
                  <c:v>7.8135298761419947E-2</c:v>
                </c:pt>
                <c:pt idx="57">
                  <c:v>8.0395996612005E-2</c:v>
                </c:pt>
                <c:pt idx="58">
                  <c:v>8.2681779082555765E-2</c:v>
                </c:pt>
                <c:pt idx="59">
                  <c:v>8.4992492266281874E-2</c:v>
                </c:pt>
                <c:pt idx="60">
                  <c:v>8.7327985764169724E-2</c:v>
                </c:pt>
                <c:pt idx="61">
                  <c:v>8.9688112548528084E-2</c:v>
                </c:pt>
                <c:pt idx="62">
                  <c:v>9.207272883396872E-2</c:v>
                </c:pt>
                <c:pt idx="63">
                  <c:v>9.4481693955305784E-2</c:v>
                </c:pt>
                <c:pt idx="64">
                  <c:v>9.6914870251898003E-2</c:v>
                </c:pt>
                <c:pt idx="65">
                  <c:v>9.9372122958001727E-2</c:v>
                </c:pt>
                <c:pt idx="66">
                  <c:v>0.10185332009873353</c:v>
                </c:pt>
                <c:pt idx="67">
                  <c:v>0.10435833239127684</c:v>
                </c:pt>
                <c:pt idx="68">
                  <c:v>0.10688703315099449</c:v>
                </c:pt>
                <c:pt idx="69">
                  <c:v>0.10943929820213485</c:v>
                </c:pt>
                <c:pt idx="70">
                  <c:v>0.1120150057928451</c:v>
                </c:pt>
                <c:pt idx="71">
                  <c:v>0.11461403651422504</c:v>
                </c:pt>
                <c:pt idx="72">
                  <c:v>0.11723627322317645</c:v>
                </c:pt>
                <c:pt idx="73">
                  <c:v>0.11988160096881934</c:v>
                </c:pt>
                <c:pt idx="74">
                  <c:v>0.12254990692226453</c:v>
                </c:pt>
                <c:pt idx="75">
                  <c:v>0.12524108030954698</c:v>
                </c:pt>
                <c:pt idx="76">
                  <c:v>0.12795501234753615</c:v>
                </c:pt>
                <c:pt idx="77">
                  <c:v>0.13069159618265602</c:v>
                </c:pt>
                <c:pt idx="78">
                  <c:v>0.13345072683225603</c:v>
                </c:pt>
                <c:pt idx="79">
                  <c:v>0.13623230112848575</c:v>
                </c:pt>
                <c:pt idx="80">
                  <c:v>0.13903621766453747</c:v>
                </c:pt>
                <c:pt idx="81">
                  <c:v>0.14186237674312635</c:v>
                </c:pt>
                <c:pt idx="82">
                  <c:v>0.14471068032709247</c:v>
                </c:pt>
                <c:pt idx="83">
                  <c:v>0.14758103199200812</c:v>
                </c:pt>
                <c:pt idx="84">
                  <c:v>0.15047333688069059</c:v>
                </c:pt>
                <c:pt idx="85">
                  <c:v>0.15338750165951856</c:v>
                </c:pt>
                <c:pt idx="86">
                  <c:v>0.15632343447646233</c:v>
                </c:pt>
                <c:pt idx="87">
                  <c:v>0.15928104492074141</c:v>
                </c:pt>
                <c:pt idx="88">
                  <c:v>0.16226024398402733</c:v>
                </c:pt>
                <c:pt idx="89">
                  <c:v>0.16526094402311819</c:v>
                </c:pt>
                <c:pt idx="90">
                  <c:v>0.16828305872400995</c:v>
                </c:pt>
                <c:pt idx="91">
                  <c:v>0.17132650306730132</c:v>
                </c:pt>
                <c:pt idx="92">
                  <c:v>0.17439119329486427</c:v>
                </c:pt>
                <c:pt idx="93">
                  <c:v>0.17747704687772481</c:v>
                </c:pt>
                <c:pt idx="94">
                  <c:v>0.18058398248509544</c:v>
                </c:pt>
                <c:pt idx="95">
                  <c:v>0.18371191995450625</c:v>
                </c:pt>
                <c:pt idx="96">
                  <c:v>0.18686078026298578</c:v>
                </c:pt>
                <c:pt idx="97">
                  <c:v>0.19003048549924287</c:v>
                </c:pt>
                <c:pt idx="98">
                  <c:v>0.19322095883680532</c:v>
                </c:pt>
                <c:pt idx="99">
                  <c:v>0.19643212450807476</c:v>
                </c:pt>
                <c:pt idx="100">
                  <c:v>0.19966390777925405</c:v>
                </c:pt>
                <c:pt idx="101">
                  <c:v>0.20291623492611366</c:v>
                </c:pt>
                <c:pt idx="102">
                  <c:v>0.20618903321055682</c:v>
                </c:pt>
                <c:pt idx="103">
                  <c:v>0.20948223085795317</c:v>
                </c:pt>
                <c:pt idx="104">
                  <c:v>0.21279575703520601</c:v>
                </c:pt>
                <c:pt idx="105">
                  <c:v>0.21612954182952493</c:v>
                </c:pt>
                <c:pt idx="106">
                  <c:v>0.21948351622787152</c:v>
                </c:pt>
                <c:pt idx="107">
                  <c:v>0.22285761209705457</c:v>
                </c:pt>
                <c:pt idx="108">
                  <c:v>0.2262517621644444</c:v>
                </c:pt>
                <c:pt idx="109">
                  <c:v>0.22966589999928516</c:v>
                </c:pt>
                <c:pt idx="110">
                  <c:v>0.23309995999457855</c:v>
                </c:pt>
                <c:pt idx="111">
                  <c:v>0.23655387734951841</c:v>
                </c:pt>
                <c:pt idx="112">
                  <c:v>0.24002758805245353</c:v>
                </c:pt>
                <c:pt idx="113">
                  <c:v>0.24352102886435723</c:v>
                </c:pt>
                <c:pt idx="114">
                  <c:v>0.24703413730278828</c:v>
                </c:pt>
                <c:pt idx="115">
                  <c:v>0.25056685162631931</c:v>
                </c:pt>
                <c:pt idx="116">
                  <c:v>0.25411911081941868</c:v>
                </c:pt>
                <c:pt idx="117">
                  <c:v>0.25769085457776758</c:v>
                </c:pt>
                <c:pt idx="118">
                  <c:v>0.26128202329399586</c:v>
                </c:pt>
                <c:pt idx="119">
                  <c:v>0.26489255804382311</c:v>
                </c:pt>
                <c:pt idx="120">
                  <c:v>0.26852240057258758</c:v>
                </c:pt>
                <c:pt idx="121">
                  <c:v>0.27217149328214962</c:v>
                </c:pt>
                <c:pt idx="122">
                  <c:v>0.27583977921815944</c:v>
                </c:pt>
                <c:pt idx="123">
                  <c:v>0.27952720205766979</c:v>
                </c:pt>
                <c:pt idx="124">
                  <c:v>0.28323370609708948</c:v>
                </c:pt>
                <c:pt idx="125">
                  <c:v>0.28695923624045755</c:v>
                </c:pt>
                <c:pt idx="126">
                  <c:v>0.29070373798803423</c:v>
                </c:pt>
                <c:pt idx="127">
                  <c:v>0.29446715742519114</c:v>
                </c:pt>
                <c:pt idx="128">
                  <c:v>0.29824944121159819</c:v>
                </c:pt>
                <c:pt idx="129">
                  <c:v>0.30205053657068792</c:v>
                </c:pt>
                <c:pt idx="130">
                  <c:v>0.30587039127939791</c:v>
                </c:pt>
                <c:pt idx="131">
                  <c:v>0.30970895365817175</c:v>
                </c:pt>
                <c:pt idx="132">
                  <c:v>0.31356617256122005</c:v>
                </c:pt>
                <c:pt idx="133">
                  <c:v>0.31744199736702416</c:v>
                </c:pt>
                <c:pt idx="134">
                  <c:v>0.32133637796908132</c:v>
                </c:pt>
                <c:pt idx="135">
                  <c:v>0.32524926476687988</c:v>
                </c:pt>
                <c:pt idx="136">
                  <c:v>0.32918060865709559</c:v>
                </c:pt>
                <c:pt idx="137">
                  <c:v>0.33313036102501015</c:v>
                </c:pt>
                <c:pt idx="138">
                  <c:v>0.337098473736132</c:v>
                </c:pt>
                <c:pt idx="139">
                  <c:v>0.34108489912802598</c:v>
                </c:pt>
                <c:pt idx="140">
                  <c:v>0.34508959000233669</c:v>
                </c:pt>
                <c:pt idx="141">
                  <c:v>0.34911249961700219</c:v>
                </c:pt>
                <c:pt idx="142">
                  <c:v>0.35315358167865485</c:v>
                </c:pt>
                <c:pt idx="143">
                  <c:v>0.35721279033519737</c:v>
                </c:pt>
                <c:pt idx="144">
                  <c:v>0.36129008016855563</c:v>
                </c:pt>
                <c:pt idx="145">
                  <c:v>0.36538540618759896</c:v>
                </c:pt>
                <c:pt idx="146">
                  <c:v>0.36949872382122306</c:v>
                </c:pt>
                <c:pt idx="147">
                  <c:v>0.37362998891159122</c:v>
                </c:pt>
                <c:pt idx="148">
                  <c:v>0.37777915770753112</c:v>
                </c:pt>
                <c:pt idx="149">
                  <c:v>0.38194618685807863</c:v>
                </c:pt>
                <c:pt idx="150">
                  <c:v>0.38613103340616761</c:v>
                </c:pt>
                <c:pt idx="151">
                  <c:v>0.39033365478246018</c:v>
                </c:pt>
                <c:pt idx="152">
                  <c:v>0.39455400879931601</c:v>
                </c:pt>
                <c:pt idx="153">
                  <c:v>0.39879205364488823</c:v>
                </c:pt>
                <c:pt idx="154">
                  <c:v>0.40304774787735576</c:v>
                </c:pt>
                <c:pt idx="155">
                  <c:v>0.40732105041927569</c:v>
                </c:pt>
                <c:pt idx="156">
                  <c:v>0.41161192055206042</c:v>
                </c:pt>
                <c:pt idx="157">
                  <c:v>0.41592031791057144</c:v>
                </c:pt>
                <c:pt idx="158">
                  <c:v>0.42024620247783018</c:v>
                </c:pt>
                <c:pt idx="159">
                  <c:v>0.42458953457983695</c:v>
                </c:pt>
                <c:pt idx="160">
                  <c:v>0.42895027488050647</c:v>
                </c:pt>
                <c:pt idx="161">
                  <c:v>0.43332838437670018</c:v>
                </c:pt>
                <c:pt idx="162">
                  <c:v>0.43772382439336854</c:v>
                </c:pt>
                <c:pt idx="163">
                  <c:v>0.44213655657879025</c:v>
                </c:pt>
                <c:pt idx="164">
                  <c:v>0.44656654289991055</c:v>
                </c:pt>
                <c:pt idx="165">
                  <c:v>0.45101374563777602</c:v>
                </c:pt>
                <c:pt idx="166">
                  <c:v>0.45547812738305565</c:v>
                </c:pt>
                <c:pt idx="167">
                  <c:v>0.45995965103166314</c:v>
                </c:pt>
                <c:pt idx="168">
                  <c:v>0.46445827978045512</c:v>
                </c:pt>
                <c:pt idx="169">
                  <c:v>0.4689739771230243</c:v>
                </c:pt>
                <c:pt idx="170">
                  <c:v>0.47350670684556989</c:v>
                </c:pt>
                <c:pt idx="171">
                  <c:v>0.47805643302285217</c:v>
                </c:pt>
                <c:pt idx="172">
                  <c:v>0.48262312001422703</c:v>
                </c:pt>
                <c:pt idx="173">
                  <c:v>0.48720673245975382</c:v>
                </c:pt>
                <c:pt idx="174">
                  <c:v>0.4918072352763847</c:v>
                </c:pt>
                <c:pt idx="175">
                  <c:v>0.4964245936542187</c:v>
                </c:pt>
                <c:pt idx="176">
                  <c:v>0.50105877305283675</c:v>
                </c:pt>
                <c:pt idx="177">
                  <c:v>0.50570973919769913</c:v>
                </c:pt>
                <c:pt idx="178">
                  <c:v>0.51037745807661572</c:v>
                </c:pt>
                <c:pt idx="179">
                  <c:v>0.5150618959362806</c:v>
                </c:pt>
                <c:pt idx="180">
                  <c:v>0.51976301927886981</c:v>
                </c:pt>
                <c:pt idx="181">
                  <c:v>0.5244807948587058</c:v>
                </c:pt>
                <c:pt idx="182">
                  <c:v>0.52921518967898262</c:v>
                </c:pt>
                <c:pt idx="183">
                  <c:v>0.53396617098854859</c:v>
                </c:pt>
                <c:pt idx="184">
                  <c:v>0.53873370627875272</c:v>
                </c:pt>
                <c:pt idx="185">
                  <c:v>0.54351776328034351</c:v>
                </c:pt>
                <c:pt idx="186">
                  <c:v>0.5483183099604263</c:v>
                </c:pt>
                <c:pt idx="187">
                  <c:v>0.55313531451947728</c:v>
                </c:pt>
                <c:pt idx="188">
                  <c:v>0.55796874538840502</c:v>
                </c:pt>
                <c:pt idx="189">
                  <c:v>0.56281857122567347</c:v>
                </c:pt>
                <c:pt idx="190">
                  <c:v>0.56768476091446596</c:v>
                </c:pt>
                <c:pt idx="191">
                  <c:v>0.57256728355990516</c:v>
                </c:pt>
                <c:pt idx="192">
                  <c:v>0.57746610848632196</c:v>
                </c:pt>
                <c:pt idx="193">
                  <c:v>0.58238120523456949</c:v>
                </c:pt>
                <c:pt idx="194">
                  <c:v>0.58731254355938356</c:v>
                </c:pt>
                <c:pt idx="195">
                  <c:v>0.59226009342679331</c:v>
                </c:pt>
                <c:pt idx="196">
                  <c:v>0.59722382501156612</c:v>
                </c:pt>
                <c:pt idx="197">
                  <c:v>0.60220370869471285</c:v>
                </c:pt>
                <c:pt idx="198">
                  <c:v>0.60719971506101478</c:v>
                </c:pt>
                <c:pt idx="199">
                  <c:v>0.61221181489661181</c:v>
                </c:pt>
              </c:numCache>
            </c:numRef>
          </c:yVal>
          <c:smooth val="0"/>
          <c:extLst>
            <c:ext xmlns:c16="http://schemas.microsoft.com/office/drawing/2014/chart" uri="{C3380CC4-5D6E-409C-BE32-E72D297353CC}">
              <c16:uniqueId val="{00000001-303B-7442-81CF-59511BEE6CDF}"/>
            </c:ext>
          </c:extLst>
        </c:ser>
        <c:ser>
          <c:idx val="1"/>
          <c:order val="1"/>
          <c:tx>
            <c:v>Wanninkhof 1992</c:v>
          </c:tx>
          <c:spPr>
            <a:ln w="25400" cap="rnd">
              <a:noFill/>
              <a:round/>
            </a:ln>
            <a:effectLst/>
          </c:spPr>
          <c:marker>
            <c:symbol val="circle"/>
            <c:size val="5"/>
            <c:spPr>
              <a:solidFill>
                <a:schemeClr val="accent2"/>
              </a:solidFill>
              <a:ln w="9525">
                <a:solidFill>
                  <a:schemeClr val="accent2"/>
                </a:solidFill>
              </a:ln>
              <a:effectLst/>
            </c:spPr>
          </c:marker>
          <c:xVal>
            <c:numRef>
              <c:f>'Piston Velocity'!$A$21:$A$220</c:f>
              <c:numCache>
                <c:formatCode>General</c:formatCode>
                <c:ptCount val="200"/>
                <c:pt idx="0">
                  <c:v>0.1</c:v>
                </c:pt>
                <c:pt idx="1">
                  <c:v>0.2</c:v>
                </c:pt>
                <c:pt idx="2">
                  <c:v>0.3</c:v>
                </c:pt>
                <c:pt idx="3">
                  <c:v>0.4</c:v>
                </c:pt>
                <c:pt idx="4">
                  <c:v>0.5</c:v>
                </c:pt>
                <c:pt idx="5">
                  <c:v>0.6</c:v>
                </c:pt>
                <c:pt idx="6">
                  <c:v>0.7</c:v>
                </c:pt>
                <c:pt idx="7">
                  <c:v>0.8</c:v>
                </c:pt>
                <c:pt idx="8">
                  <c:v>0.9</c:v>
                </c:pt>
                <c:pt idx="9">
                  <c:v>1</c:v>
                </c:pt>
                <c:pt idx="10">
                  <c:v>1.1000000000000001</c:v>
                </c:pt>
                <c:pt idx="11">
                  <c:v>1.2</c:v>
                </c:pt>
                <c:pt idx="12">
                  <c:v>1.3</c:v>
                </c:pt>
                <c:pt idx="13">
                  <c:v>1.4</c:v>
                </c:pt>
                <c:pt idx="14">
                  <c:v>1.5</c:v>
                </c:pt>
                <c:pt idx="15">
                  <c:v>1.6</c:v>
                </c:pt>
                <c:pt idx="16">
                  <c:v>1.7</c:v>
                </c:pt>
                <c:pt idx="17">
                  <c:v>1.8</c:v>
                </c:pt>
                <c:pt idx="18">
                  <c:v>1.9</c:v>
                </c:pt>
                <c:pt idx="19">
                  <c:v>2</c:v>
                </c:pt>
                <c:pt idx="20">
                  <c:v>2.1</c:v>
                </c:pt>
                <c:pt idx="21">
                  <c:v>2.2000000000000002</c:v>
                </c:pt>
                <c:pt idx="22">
                  <c:v>2.2999999999999998</c:v>
                </c:pt>
                <c:pt idx="23">
                  <c:v>2.4</c:v>
                </c:pt>
                <c:pt idx="24">
                  <c:v>2.5</c:v>
                </c:pt>
                <c:pt idx="25">
                  <c:v>2.6</c:v>
                </c:pt>
                <c:pt idx="26">
                  <c:v>2.7</c:v>
                </c:pt>
                <c:pt idx="27">
                  <c:v>2.8</c:v>
                </c:pt>
                <c:pt idx="28">
                  <c:v>2.9</c:v>
                </c:pt>
                <c:pt idx="29">
                  <c:v>3</c:v>
                </c:pt>
                <c:pt idx="30">
                  <c:v>3.1</c:v>
                </c:pt>
                <c:pt idx="31">
                  <c:v>3.2</c:v>
                </c:pt>
                <c:pt idx="32">
                  <c:v>3.3</c:v>
                </c:pt>
                <c:pt idx="33">
                  <c:v>3.4</c:v>
                </c:pt>
                <c:pt idx="34">
                  <c:v>3.5</c:v>
                </c:pt>
                <c:pt idx="35">
                  <c:v>3.6</c:v>
                </c:pt>
                <c:pt idx="36">
                  <c:v>3.7</c:v>
                </c:pt>
                <c:pt idx="37">
                  <c:v>3.8</c:v>
                </c:pt>
                <c:pt idx="38">
                  <c:v>3.9</c:v>
                </c:pt>
                <c:pt idx="39">
                  <c:v>4</c:v>
                </c:pt>
                <c:pt idx="40">
                  <c:v>4.0999999999999996</c:v>
                </c:pt>
                <c:pt idx="41">
                  <c:v>4.2</c:v>
                </c:pt>
                <c:pt idx="42">
                  <c:v>4.3</c:v>
                </c:pt>
                <c:pt idx="43">
                  <c:v>4.4000000000000004</c:v>
                </c:pt>
                <c:pt idx="44">
                  <c:v>4.5</c:v>
                </c:pt>
                <c:pt idx="45">
                  <c:v>4.5999999999999996</c:v>
                </c:pt>
                <c:pt idx="46">
                  <c:v>4.7</c:v>
                </c:pt>
                <c:pt idx="47">
                  <c:v>4.8</c:v>
                </c:pt>
                <c:pt idx="48">
                  <c:v>4.9000000000000004</c:v>
                </c:pt>
                <c:pt idx="49">
                  <c:v>5</c:v>
                </c:pt>
                <c:pt idx="50">
                  <c:v>5.0999999999999996</c:v>
                </c:pt>
                <c:pt idx="51">
                  <c:v>5.2</c:v>
                </c:pt>
                <c:pt idx="52">
                  <c:v>5.3</c:v>
                </c:pt>
                <c:pt idx="53">
                  <c:v>5.4</c:v>
                </c:pt>
                <c:pt idx="54">
                  <c:v>5.5</c:v>
                </c:pt>
                <c:pt idx="55">
                  <c:v>5.6</c:v>
                </c:pt>
                <c:pt idx="56">
                  <c:v>5.7</c:v>
                </c:pt>
                <c:pt idx="57">
                  <c:v>5.8</c:v>
                </c:pt>
                <c:pt idx="58">
                  <c:v>5.9</c:v>
                </c:pt>
                <c:pt idx="59">
                  <c:v>6</c:v>
                </c:pt>
                <c:pt idx="60">
                  <c:v>6.1</c:v>
                </c:pt>
                <c:pt idx="61">
                  <c:v>6.2</c:v>
                </c:pt>
                <c:pt idx="62">
                  <c:v>6.3</c:v>
                </c:pt>
                <c:pt idx="63">
                  <c:v>6.4</c:v>
                </c:pt>
                <c:pt idx="64">
                  <c:v>6.5</c:v>
                </c:pt>
                <c:pt idx="65">
                  <c:v>6.6</c:v>
                </c:pt>
                <c:pt idx="66">
                  <c:v>6.7</c:v>
                </c:pt>
                <c:pt idx="67">
                  <c:v>6.8</c:v>
                </c:pt>
                <c:pt idx="68">
                  <c:v>6.9</c:v>
                </c:pt>
                <c:pt idx="69">
                  <c:v>7</c:v>
                </c:pt>
                <c:pt idx="70">
                  <c:v>7.1</c:v>
                </c:pt>
                <c:pt idx="71">
                  <c:v>7.2</c:v>
                </c:pt>
                <c:pt idx="72">
                  <c:v>7.3</c:v>
                </c:pt>
                <c:pt idx="73">
                  <c:v>7.4</c:v>
                </c:pt>
                <c:pt idx="74">
                  <c:v>7.5</c:v>
                </c:pt>
                <c:pt idx="75">
                  <c:v>7.6</c:v>
                </c:pt>
                <c:pt idx="76">
                  <c:v>7.7</c:v>
                </c:pt>
                <c:pt idx="77">
                  <c:v>7.8</c:v>
                </c:pt>
                <c:pt idx="78">
                  <c:v>7.9</c:v>
                </c:pt>
                <c:pt idx="79">
                  <c:v>8</c:v>
                </c:pt>
                <c:pt idx="80">
                  <c:v>8.1</c:v>
                </c:pt>
                <c:pt idx="81">
                  <c:v>8.1999999999999993</c:v>
                </c:pt>
                <c:pt idx="82">
                  <c:v>8.3000000000000007</c:v>
                </c:pt>
                <c:pt idx="83">
                  <c:v>8.4</c:v>
                </c:pt>
                <c:pt idx="84">
                  <c:v>8.5</c:v>
                </c:pt>
                <c:pt idx="85">
                  <c:v>8.6</c:v>
                </c:pt>
                <c:pt idx="86">
                  <c:v>8.6999999999999993</c:v>
                </c:pt>
                <c:pt idx="87">
                  <c:v>8.8000000000000007</c:v>
                </c:pt>
                <c:pt idx="88">
                  <c:v>8.9</c:v>
                </c:pt>
                <c:pt idx="89">
                  <c:v>9</c:v>
                </c:pt>
                <c:pt idx="90">
                  <c:v>9.1</c:v>
                </c:pt>
                <c:pt idx="91">
                  <c:v>9.1999999999999993</c:v>
                </c:pt>
                <c:pt idx="92">
                  <c:v>9.3000000000000007</c:v>
                </c:pt>
                <c:pt idx="93">
                  <c:v>9.4</c:v>
                </c:pt>
                <c:pt idx="94">
                  <c:v>9.5</c:v>
                </c:pt>
                <c:pt idx="95">
                  <c:v>9.6</c:v>
                </c:pt>
                <c:pt idx="96">
                  <c:v>9.6999999999999993</c:v>
                </c:pt>
                <c:pt idx="97">
                  <c:v>9.8000000000000007</c:v>
                </c:pt>
                <c:pt idx="98">
                  <c:v>9.9</c:v>
                </c:pt>
                <c:pt idx="99">
                  <c:v>10</c:v>
                </c:pt>
                <c:pt idx="100">
                  <c:v>10.1</c:v>
                </c:pt>
                <c:pt idx="101">
                  <c:v>10.199999999999999</c:v>
                </c:pt>
                <c:pt idx="102">
                  <c:v>10.3</c:v>
                </c:pt>
                <c:pt idx="103">
                  <c:v>10.4</c:v>
                </c:pt>
                <c:pt idx="104">
                  <c:v>10.5</c:v>
                </c:pt>
                <c:pt idx="105">
                  <c:v>10.6</c:v>
                </c:pt>
                <c:pt idx="106">
                  <c:v>10.7</c:v>
                </c:pt>
                <c:pt idx="107">
                  <c:v>10.8</c:v>
                </c:pt>
                <c:pt idx="108">
                  <c:v>10.9</c:v>
                </c:pt>
                <c:pt idx="109">
                  <c:v>11</c:v>
                </c:pt>
                <c:pt idx="110">
                  <c:v>11.1</c:v>
                </c:pt>
                <c:pt idx="111">
                  <c:v>11.2</c:v>
                </c:pt>
                <c:pt idx="112">
                  <c:v>11.3</c:v>
                </c:pt>
                <c:pt idx="113">
                  <c:v>11.4</c:v>
                </c:pt>
                <c:pt idx="114">
                  <c:v>11.5</c:v>
                </c:pt>
                <c:pt idx="115">
                  <c:v>11.6</c:v>
                </c:pt>
                <c:pt idx="116">
                  <c:v>11.7</c:v>
                </c:pt>
                <c:pt idx="117">
                  <c:v>11.8</c:v>
                </c:pt>
                <c:pt idx="118">
                  <c:v>11.9</c:v>
                </c:pt>
                <c:pt idx="119">
                  <c:v>12</c:v>
                </c:pt>
                <c:pt idx="120">
                  <c:v>12.1</c:v>
                </c:pt>
                <c:pt idx="121">
                  <c:v>12.2</c:v>
                </c:pt>
                <c:pt idx="122">
                  <c:v>12.3</c:v>
                </c:pt>
                <c:pt idx="123">
                  <c:v>12.4</c:v>
                </c:pt>
                <c:pt idx="124">
                  <c:v>12.5</c:v>
                </c:pt>
                <c:pt idx="125">
                  <c:v>12.6</c:v>
                </c:pt>
                <c:pt idx="126">
                  <c:v>12.7</c:v>
                </c:pt>
                <c:pt idx="127">
                  <c:v>12.8</c:v>
                </c:pt>
                <c:pt idx="128">
                  <c:v>12.9</c:v>
                </c:pt>
                <c:pt idx="129">
                  <c:v>13</c:v>
                </c:pt>
                <c:pt idx="130">
                  <c:v>13.1</c:v>
                </c:pt>
                <c:pt idx="131">
                  <c:v>13.2</c:v>
                </c:pt>
                <c:pt idx="132">
                  <c:v>13.3</c:v>
                </c:pt>
                <c:pt idx="133">
                  <c:v>13.4</c:v>
                </c:pt>
                <c:pt idx="134">
                  <c:v>13.5</c:v>
                </c:pt>
                <c:pt idx="135">
                  <c:v>13.6</c:v>
                </c:pt>
                <c:pt idx="136">
                  <c:v>13.7</c:v>
                </c:pt>
                <c:pt idx="137">
                  <c:v>13.8</c:v>
                </c:pt>
                <c:pt idx="138">
                  <c:v>13.9</c:v>
                </c:pt>
                <c:pt idx="139">
                  <c:v>14</c:v>
                </c:pt>
                <c:pt idx="140">
                  <c:v>14.1</c:v>
                </c:pt>
                <c:pt idx="141">
                  <c:v>14.2</c:v>
                </c:pt>
                <c:pt idx="142">
                  <c:v>14.3</c:v>
                </c:pt>
                <c:pt idx="143">
                  <c:v>14.4</c:v>
                </c:pt>
                <c:pt idx="144">
                  <c:v>14.5</c:v>
                </c:pt>
                <c:pt idx="145">
                  <c:v>14.6</c:v>
                </c:pt>
                <c:pt idx="146">
                  <c:v>14.7</c:v>
                </c:pt>
                <c:pt idx="147">
                  <c:v>14.8</c:v>
                </c:pt>
                <c:pt idx="148">
                  <c:v>14.9</c:v>
                </c:pt>
                <c:pt idx="149">
                  <c:v>15</c:v>
                </c:pt>
                <c:pt idx="150">
                  <c:v>15.1</c:v>
                </c:pt>
                <c:pt idx="151">
                  <c:v>15.2</c:v>
                </c:pt>
                <c:pt idx="152">
                  <c:v>15.3</c:v>
                </c:pt>
                <c:pt idx="153">
                  <c:v>15.4</c:v>
                </c:pt>
                <c:pt idx="154">
                  <c:v>15.5</c:v>
                </c:pt>
                <c:pt idx="155">
                  <c:v>15.6</c:v>
                </c:pt>
                <c:pt idx="156">
                  <c:v>15.7</c:v>
                </c:pt>
                <c:pt idx="157">
                  <c:v>15.8</c:v>
                </c:pt>
                <c:pt idx="158">
                  <c:v>15.9</c:v>
                </c:pt>
                <c:pt idx="159">
                  <c:v>16</c:v>
                </c:pt>
                <c:pt idx="160">
                  <c:v>16.100000000000001</c:v>
                </c:pt>
                <c:pt idx="161">
                  <c:v>16.2</c:v>
                </c:pt>
                <c:pt idx="162">
                  <c:v>16.3</c:v>
                </c:pt>
                <c:pt idx="163">
                  <c:v>16.399999999999999</c:v>
                </c:pt>
                <c:pt idx="164">
                  <c:v>16.5</c:v>
                </c:pt>
                <c:pt idx="165">
                  <c:v>16.600000000000001</c:v>
                </c:pt>
                <c:pt idx="166">
                  <c:v>16.7</c:v>
                </c:pt>
                <c:pt idx="167">
                  <c:v>16.8</c:v>
                </c:pt>
                <c:pt idx="168">
                  <c:v>16.899999999999999</c:v>
                </c:pt>
                <c:pt idx="169">
                  <c:v>17</c:v>
                </c:pt>
                <c:pt idx="170">
                  <c:v>17.100000000000001</c:v>
                </c:pt>
                <c:pt idx="171">
                  <c:v>17.2</c:v>
                </c:pt>
                <c:pt idx="172">
                  <c:v>17.3</c:v>
                </c:pt>
                <c:pt idx="173">
                  <c:v>17.399999999999999</c:v>
                </c:pt>
                <c:pt idx="174">
                  <c:v>17.5</c:v>
                </c:pt>
                <c:pt idx="175">
                  <c:v>17.600000000000001</c:v>
                </c:pt>
                <c:pt idx="176">
                  <c:v>17.7</c:v>
                </c:pt>
                <c:pt idx="177">
                  <c:v>17.8</c:v>
                </c:pt>
                <c:pt idx="178">
                  <c:v>17.899999999999999</c:v>
                </c:pt>
                <c:pt idx="179">
                  <c:v>18</c:v>
                </c:pt>
                <c:pt idx="180">
                  <c:v>18.100000000000001</c:v>
                </c:pt>
                <c:pt idx="181">
                  <c:v>18.2</c:v>
                </c:pt>
                <c:pt idx="182">
                  <c:v>18.3</c:v>
                </c:pt>
                <c:pt idx="183">
                  <c:v>18.399999999999999</c:v>
                </c:pt>
                <c:pt idx="184">
                  <c:v>18.5</c:v>
                </c:pt>
                <c:pt idx="185">
                  <c:v>18.600000000000001</c:v>
                </c:pt>
                <c:pt idx="186">
                  <c:v>18.7</c:v>
                </c:pt>
                <c:pt idx="187">
                  <c:v>18.8</c:v>
                </c:pt>
                <c:pt idx="188">
                  <c:v>18.899999999999999</c:v>
                </c:pt>
                <c:pt idx="189">
                  <c:v>19</c:v>
                </c:pt>
                <c:pt idx="190">
                  <c:v>19.100000000000001</c:v>
                </c:pt>
                <c:pt idx="191">
                  <c:v>19.2</c:v>
                </c:pt>
                <c:pt idx="192">
                  <c:v>19.3</c:v>
                </c:pt>
                <c:pt idx="193">
                  <c:v>19.399999999999999</c:v>
                </c:pt>
                <c:pt idx="194">
                  <c:v>19.5</c:v>
                </c:pt>
                <c:pt idx="195">
                  <c:v>19.600000000000001</c:v>
                </c:pt>
                <c:pt idx="196">
                  <c:v>19.7</c:v>
                </c:pt>
                <c:pt idx="197">
                  <c:v>19.8</c:v>
                </c:pt>
                <c:pt idx="198">
                  <c:v>19.899999999999999</c:v>
                </c:pt>
                <c:pt idx="199">
                  <c:v>20</c:v>
                </c:pt>
              </c:numCache>
            </c:numRef>
          </c:xVal>
          <c:yVal>
            <c:numRef>
              <c:f>'Piston Velocity'!$D$21:$D$220</c:f>
              <c:numCache>
                <c:formatCode>General</c:formatCode>
                <c:ptCount val="200"/>
                <c:pt idx="0">
                  <c:v>3.251307429327471E-5</c:v>
                </c:pt>
                <c:pt idx="1">
                  <c:v>1.3005229717309884E-4</c:v>
                </c:pt>
                <c:pt idx="2">
                  <c:v>2.926176686394723E-4</c:v>
                </c:pt>
                <c:pt idx="3">
                  <c:v>5.2020918869239536E-4</c:v>
                </c:pt>
                <c:pt idx="4">
                  <c:v>8.128268573318675E-4</c:v>
                </c:pt>
                <c:pt idx="5">
                  <c:v>1.1704706745578892E-3</c:v>
                </c:pt>
                <c:pt idx="6">
                  <c:v>1.5931406403704601E-3</c:v>
                </c:pt>
                <c:pt idx="7">
                  <c:v>2.0808367547695814E-3</c:v>
                </c:pt>
                <c:pt idx="8">
                  <c:v>2.6335590177552506E-3</c:v>
                </c:pt>
                <c:pt idx="9">
                  <c:v>3.25130742932747E-3</c:v>
                </c:pt>
                <c:pt idx="10">
                  <c:v>3.9340819894862393E-3</c:v>
                </c:pt>
                <c:pt idx="11">
                  <c:v>4.6818826982315568E-3</c:v>
                </c:pt>
                <c:pt idx="12">
                  <c:v>5.4947095555634255E-3</c:v>
                </c:pt>
                <c:pt idx="13">
                  <c:v>6.3725625614818402E-3</c:v>
                </c:pt>
                <c:pt idx="14">
                  <c:v>7.3154417159868078E-3</c:v>
                </c:pt>
                <c:pt idx="15">
                  <c:v>8.3233470190783258E-3</c:v>
                </c:pt>
                <c:pt idx="16">
                  <c:v>9.396278470756388E-3</c:v>
                </c:pt>
                <c:pt idx="17">
                  <c:v>1.0534236071021002E-2</c:v>
                </c:pt>
                <c:pt idx="18">
                  <c:v>1.1737219819872167E-2</c:v>
                </c:pt>
                <c:pt idx="19">
                  <c:v>1.300522971730988E-2</c:v>
                </c:pt>
                <c:pt idx="20">
                  <c:v>1.4338265763334144E-2</c:v>
                </c:pt>
                <c:pt idx="21">
                  <c:v>1.5736327957944957E-2</c:v>
                </c:pt>
                <c:pt idx="22">
                  <c:v>1.7199416301142315E-2</c:v>
                </c:pt>
                <c:pt idx="23">
                  <c:v>1.8727530792926227E-2</c:v>
                </c:pt>
                <c:pt idx="24">
                  <c:v>2.0320671433296685E-2</c:v>
                </c:pt>
                <c:pt idx="25">
                  <c:v>2.1978838222253702E-2</c:v>
                </c:pt>
                <c:pt idx="26">
                  <c:v>2.3702031159797264E-2</c:v>
                </c:pt>
                <c:pt idx="27">
                  <c:v>2.5490250245927361E-2</c:v>
                </c:pt>
                <c:pt idx="28">
                  <c:v>2.7343495480644023E-2</c:v>
                </c:pt>
                <c:pt idx="29">
                  <c:v>2.9261766863947231E-2</c:v>
                </c:pt>
                <c:pt idx="30">
                  <c:v>3.1245064395836991E-2</c:v>
                </c:pt>
                <c:pt idx="31">
                  <c:v>3.3293388076313303E-2</c:v>
                </c:pt>
                <c:pt idx="32">
                  <c:v>3.5406737905376143E-2</c:v>
                </c:pt>
                <c:pt idx="33">
                  <c:v>3.7585113883025552E-2</c:v>
                </c:pt>
                <c:pt idx="34">
                  <c:v>3.982851600926151E-2</c:v>
                </c:pt>
                <c:pt idx="35">
                  <c:v>4.2136944284084009E-2</c:v>
                </c:pt>
                <c:pt idx="36">
                  <c:v>4.4510398707493064E-2</c:v>
                </c:pt>
                <c:pt idx="37">
                  <c:v>4.6948879279488667E-2</c:v>
                </c:pt>
                <c:pt idx="38">
                  <c:v>4.9452386000070812E-2</c:v>
                </c:pt>
                <c:pt idx="39">
                  <c:v>5.202091886923952E-2</c:v>
                </c:pt>
                <c:pt idx="40">
                  <c:v>5.4654477886994762E-2</c:v>
                </c:pt>
                <c:pt idx="41">
                  <c:v>5.7353063053336574E-2</c:v>
                </c:pt>
                <c:pt idx="42">
                  <c:v>6.0116674368264914E-2</c:v>
                </c:pt>
                <c:pt idx="43">
                  <c:v>6.2945311831779829E-2</c:v>
                </c:pt>
                <c:pt idx="44">
                  <c:v>6.5838975443881273E-2</c:v>
                </c:pt>
                <c:pt idx="45">
                  <c:v>6.8797665204569258E-2</c:v>
                </c:pt>
                <c:pt idx="46">
                  <c:v>7.1821381113843827E-2</c:v>
                </c:pt>
                <c:pt idx="47">
                  <c:v>7.4910123171704909E-2</c:v>
                </c:pt>
                <c:pt idx="48">
                  <c:v>7.8063891378152575E-2</c:v>
                </c:pt>
                <c:pt idx="49">
                  <c:v>8.1282685733186741E-2</c:v>
                </c:pt>
                <c:pt idx="50">
                  <c:v>8.4566506236807476E-2</c:v>
                </c:pt>
                <c:pt idx="51">
                  <c:v>8.7915352889014808E-2</c:v>
                </c:pt>
                <c:pt idx="52">
                  <c:v>9.1329225689808627E-2</c:v>
                </c:pt>
                <c:pt idx="53">
                  <c:v>9.4808124639189056E-2</c:v>
                </c:pt>
                <c:pt idx="54">
                  <c:v>9.8352049737155958E-2</c:v>
                </c:pt>
                <c:pt idx="55">
                  <c:v>0.10196100098370944</c:v>
                </c:pt>
                <c:pt idx="56">
                  <c:v>0.10563497837884951</c:v>
                </c:pt>
                <c:pt idx="57">
                  <c:v>0.10937398192257609</c:v>
                </c:pt>
                <c:pt idx="58">
                  <c:v>0.11317801161488923</c:v>
                </c:pt>
                <c:pt idx="59">
                  <c:v>0.11704706745578893</c:v>
                </c:pt>
                <c:pt idx="60">
                  <c:v>0.12098114944527515</c:v>
                </c:pt>
                <c:pt idx="61">
                  <c:v>0.12498025758334796</c:v>
                </c:pt>
                <c:pt idx="62">
                  <c:v>0.12904439187000727</c:v>
                </c:pt>
                <c:pt idx="63">
                  <c:v>0.13317355230525321</c:v>
                </c:pt>
                <c:pt idx="64">
                  <c:v>0.1373677388890856</c:v>
                </c:pt>
                <c:pt idx="65">
                  <c:v>0.14162695162150457</c:v>
                </c:pt>
                <c:pt idx="66">
                  <c:v>0.14595119050251015</c:v>
                </c:pt>
                <c:pt idx="67">
                  <c:v>0.15034045553210221</c:v>
                </c:pt>
                <c:pt idx="68">
                  <c:v>0.15479474671028087</c:v>
                </c:pt>
                <c:pt idx="69">
                  <c:v>0.15931406403704604</c:v>
                </c:pt>
                <c:pt idx="70">
                  <c:v>0.16389840751239773</c:v>
                </c:pt>
                <c:pt idx="71">
                  <c:v>0.16854777713633604</c:v>
                </c:pt>
                <c:pt idx="72">
                  <c:v>0.1732621729088609</c:v>
                </c:pt>
                <c:pt idx="73">
                  <c:v>0.17804159482997226</c:v>
                </c:pt>
                <c:pt idx="74">
                  <c:v>0.1828860428996702</c:v>
                </c:pt>
                <c:pt idx="75">
                  <c:v>0.18779551711795467</c:v>
                </c:pt>
                <c:pt idx="76">
                  <c:v>0.19277001748482572</c:v>
                </c:pt>
                <c:pt idx="77">
                  <c:v>0.19780954400028325</c:v>
                </c:pt>
                <c:pt idx="78">
                  <c:v>0.20291409666432741</c:v>
                </c:pt>
                <c:pt idx="79">
                  <c:v>0.20808367547695808</c:v>
                </c:pt>
                <c:pt idx="80">
                  <c:v>0.2133182804381753</c:v>
                </c:pt>
                <c:pt idx="81">
                  <c:v>0.21861791154797905</c:v>
                </c:pt>
                <c:pt idx="82">
                  <c:v>0.22398256880636946</c:v>
                </c:pt>
                <c:pt idx="83">
                  <c:v>0.2294122522133463</c:v>
                </c:pt>
                <c:pt idx="84">
                  <c:v>0.23490696176890971</c:v>
                </c:pt>
                <c:pt idx="85">
                  <c:v>0.24046669747305965</c:v>
                </c:pt>
                <c:pt idx="86">
                  <c:v>0.24609145932579615</c:v>
                </c:pt>
                <c:pt idx="87">
                  <c:v>0.25178124732711932</c:v>
                </c:pt>
                <c:pt idx="88">
                  <c:v>0.25753606147702895</c:v>
                </c:pt>
                <c:pt idx="89">
                  <c:v>0.26335590177552509</c:v>
                </c:pt>
                <c:pt idx="90">
                  <c:v>0.26924076822260778</c:v>
                </c:pt>
                <c:pt idx="91">
                  <c:v>0.27519066081827703</c:v>
                </c:pt>
                <c:pt idx="92">
                  <c:v>0.28120557956253289</c:v>
                </c:pt>
                <c:pt idx="93">
                  <c:v>0.28728552445537531</c:v>
                </c:pt>
                <c:pt idx="94">
                  <c:v>0.29343049549680417</c:v>
                </c:pt>
                <c:pt idx="95">
                  <c:v>0.29964049268681964</c:v>
                </c:pt>
                <c:pt idx="96">
                  <c:v>0.30591551602542161</c:v>
                </c:pt>
                <c:pt idx="97">
                  <c:v>0.3122555655126103</c:v>
                </c:pt>
                <c:pt idx="98">
                  <c:v>0.31866064114838538</c:v>
                </c:pt>
                <c:pt idx="99">
                  <c:v>0.32513074293274696</c:v>
                </c:pt>
                <c:pt idx="100">
                  <c:v>0.33166587086569521</c:v>
                </c:pt>
                <c:pt idx="101">
                  <c:v>0.3382660249472299</c:v>
                </c:pt>
                <c:pt idx="102">
                  <c:v>0.34493120517735126</c:v>
                </c:pt>
                <c:pt idx="103">
                  <c:v>0.35166141155605923</c:v>
                </c:pt>
                <c:pt idx="104">
                  <c:v>0.35845664408335359</c:v>
                </c:pt>
                <c:pt idx="105">
                  <c:v>0.36531690275923451</c:v>
                </c:pt>
                <c:pt idx="106">
                  <c:v>0.37224218758370198</c:v>
                </c:pt>
                <c:pt idx="107">
                  <c:v>0.37923249855675623</c:v>
                </c:pt>
                <c:pt idx="108">
                  <c:v>0.3862878356783967</c:v>
                </c:pt>
                <c:pt idx="109">
                  <c:v>0.39340819894862383</c:v>
                </c:pt>
                <c:pt idx="110">
                  <c:v>0.40059358836743753</c:v>
                </c:pt>
                <c:pt idx="111">
                  <c:v>0.40784400393483777</c:v>
                </c:pt>
                <c:pt idx="112">
                  <c:v>0.41515944565082469</c:v>
                </c:pt>
                <c:pt idx="113">
                  <c:v>0.42253991351539805</c:v>
                </c:pt>
                <c:pt idx="114">
                  <c:v>0.42998540752855796</c:v>
                </c:pt>
                <c:pt idx="115">
                  <c:v>0.43749592769030438</c:v>
                </c:pt>
                <c:pt idx="116">
                  <c:v>0.44507147400063735</c:v>
                </c:pt>
                <c:pt idx="117">
                  <c:v>0.45271204645955693</c:v>
                </c:pt>
                <c:pt idx="118">
                  <c:v>0.46041764506706306</c:v>
                </c:pt>
                <c:pt idx="119">
                  <c:v>0.4681882698231557</c:v>
                </c:pt>
                <c:pt idx="120">
                  <c:v>0.47602392072783489</c:v>
                </c:pt>
                <c:pt idx="121">
                  <c:v>0.48392459778110058</c:v>
                </c:pt>
                <c:pt idx="122">
                  <c:v>0.49189030098295305</c:v>
                </c:pt>
                <c:pt idx="123">
                  <c:v>0.49992103033339186</c:v>
                </c:pt>
                <c:pt idx="124">
                  <c:v>0.50801678583241716</c:v>
                </c:pt>
                <c:pt idx="125">
                  <c:v>0.51617756748002908</c:v>
                </c:pt>
                <c:pt idx="126">
                  <c:v>0.5244033752762276</c:v>
                </c:pt>
                <c:pt idx="127">
                  <c:v>0.53269420922101285</c:v>
                </c:pt>
                <c:pt idx="128">
                  <c:v>0.54105006931438426</c:v>
                </c:pt>
                <c:pt idx="129">
                  <c:v>0.5494709555563424</c:v>
                </c:pt>
                <c:pt idx="130">
                  <c:v>0.55795686794688704</c:v>
                </c:pt>
                <c:pt idx="131">
                  <c:v>0.56650780648601828</c:v>
                </c:pt>
                <c:pt idx="132">
                  <c:v>0.57512377117373614</c:v>
                </c:pt>
                <c:pt idx="133">
                  <c:v>0.58380476201004061</c:v>
                </c:pt>
                <c:pt idx="134">
                  <c:v>0.59255077899493147</c:v>
                </c:pt>
                <c:pt idx="135">
                  <c:v>0.60136182212840883</c:v>
                </c:pt>
                <c:pt idx="136">
                  <c:v>0.61023789141047269</c:v>
                </c:pt>
                <c:pt idx="137">
                  <c:v>0.61917898684112349</c:v>
                </c:pt>
                <c:pt idx="138">
                  <c:v>0.62818510842036046</c:v>
                </c:pt>
                <c:pt idx="139">
                  <c:v>0.63725625614818415</c:v>
                </c:pt>
                <c:pt idx="140">
                  <c:v>0.64639243002459434</c:v>
                </c:pt>
                <c:pt idx="141">
                  <c:v>0.65559363004959093</c:v>
                </c:pt>
                <c:pt idx="142">
                  <c:v>0.66485985622317434</c:v>
                </c:pt>
                <c:pt idx="143">
                  <c:v>0.67419110854534414</c:v>
                </c:pt>
                <c:pt idx="144">
                  <c:v>0.68358738701610056</c:v>
                </c:pt>
                <c:pt idx="145">
                  <c:v>0.69304869163544358</c:v>
                </c:pt>
                <c:pt idx="146">
                  <c:v>0.702575022403373</c:v>
                </c:pt>
                <c:pt idx="147">
                  <c:v>0.71216637931988902</c:v>
                </c:pt>
                <c:pt idx="148">
                  <c:v>0.72182276238499166</c:v>
                </c:pt>
                <c:pt idx="149">
                  <c:v>0.73154417159868079</c:v>
                </c:pt>
                <c:pt idx="150">
                  <c:v>0.74133060696095643</c:v>
                </c:pt>
                <c:pt idx="151">
                  <c:v>0.75118206847181868</c:v>
                </c:pt>
                <c:pt idx="152">
                  <c:v>0.76109855613126753</c:v>
                </c:pt>
                <c:pt idx="153">
                  <c:v>0.77108006993930289</c:v>
                </c:pt>
                <c:pt idx="154">
                  <c:v>0.78112660989592475</c:v>
                </c:pt>
                <c:pt idx="155">
                  <c:v>0.791238176001133</c:v>
                </c:pt>
                <c:pt idx="156">
                  <c:v>0.80141476825492797</c:v>
                </c:pt>
                <c:pt idx="157">
                  <c:v>0.81165638665730966</c:v>
                </c:pt>
                <c:pt idx="158">
                  <c:v>0.82196303120827763</c:v>
                </c:pt>
                <c:pt idx="159">
                  <c:v>0.83233470190783232</c:v>
                </c:pt>
                <c:pt idx="160">
                  <c:v>0.84277139875597351</c:v>
                </c:pt>
                <c:pt idx="161">
                  <c:v>0.8532731217527012</c:v>
                </c:pt>
                <c:pt idx="162">
                  <c:v>0.8638398708980155</c:v>
                </c:pt>
                <c:pt idx="163">
                  <c:v>0.8744716461919162</c:v>
                </c:pt>
                <c:pt idx="164">
                  <c:v>0.88516844763440361</c:v>
                </c:pt>
                <c:pt idx="165">
                  <c:v>0.89593027522547786</c:v>
                </c:pt>
                <c:pt idx="166">
                  <c:v>0.90675712896513816</c:v>
                </c:pt>
                <c:pt idx="167">
                  <c:v>0.91764900885338518</c:v>
                </c:pt>
                <c:pt idx="168">
                  <c:v>0.9286059148902186</c:v>
                </c:pt>
                <c:pt idx="169">
                  <c:v>0.93962784707563884</c:v>
                </c:pt>
                <c:pt idx="170">
                  <c:v>0.95071480540964559</c:v>
                </c:pt>
                <c:pt idx="171">
                  <c:v>0.96186678989223862</c:v>
                </c:pt>
                <c:pt idx="172">
                  <c:v>0.97308380052341859</c:v>
                </c:pt>
                <c:pt idx="173">
                  <c:v>0.98436583730318461</c:v>
                </c:pt>
                <c:pt idx="174">
                  <c:v>0.99571290023153769</c:v>
                </c:pt>
                <c:pt idx="175">
                  <c:v>1.0071249893084773</c:v>
                </c:pt>
                <c:pt idx="176">
                  <c:v>1.018602104534003</c:v>
                </c:pt>
                <c:pt idx="177">
                  <c:v>1.0301442459081158</c:v>
                </c:pt>
                <c:pt idx="178">
                  <c:v>1.0417514134308146</c:v>
                </c:pt>
                <c:pt idx="179">
                  <c:v>1.0534236071021004</c:v>
                </c:pt>
                <c:pt idx="180">
                  <c:v>1.0651608269219726</c:v>
                </c:pt>
                <c:pt idx="181">
                  <c:v>1.0769630728904311</c:v>
                </c:pt>
                <c:pt idx="182">
                  <c:v>1.0888303450074766</c:v>
                </c:pt>
                <c:pt idx="183">
                  <c:v>1.1007626432731081</c:v>
                </c:pt>
                <c:pt idx="184">
                  <c:v>1.1127599676873265</c:v>
                </c:pt>
                <c:pt idx="185">
                  <c:v>1.1248223182501316</c:v>
                </c:pt>
                <c:pt idx="186">
                  <c:v>1.136949694961523</c:v>
                </c:pt>
                <c:pt idx="187">
                  <c:v>1.1491420978215012</c:v>
                </c:pt>
                <c:pt idx="188">
                  <c:v>1.1613995268300652</c:v>
                </c:pt>
                <c:pt idx="189">
                  <c:v>1.1737219819872167</c:v>
                </c:pt>
                <c:pt idx="190">
                  <c:v>1.1861094632929545</c:v>
                </c:pt>
                <c:pt idx="191">
                  <c:v>1.1985619707472785</c:v>
                </c:pt>
                <c:pt idx="192">
                  <c:v>1.2110795043501894</c:v>
                </c:pt>
                <c:pt idx="193">
                  <c:v>1.2236620641016864</c:v>
                </c:pt>
                <c:pt idx="194">
                  <c:v>1.2363096500017705</c:v>
                </c:pt>
                <c:pt idx="195">
                  <c:v>1.2490222620504412</c:v>
                </c:pt>
                <c:pt idx="196">
                  <c:v>1.2617999002476978</c:v>
                </c:pt>
                <c:pt idx="197">
                  <c:v>1.2746425645935415</c:v>
                </c:pt>
                <c:pt idx="198">
                  <c:v>1.2875502550879714</c:v>
                </c:pt>
                <c:pt idx="199">
                  <c:v>1.3005229717309879</c:v>
                </c:pt>
              </c:numCache>
            </c:numRef>
          </c:yVal>
          <c:smooth val="0"/>
          <c:extLst>
            <c:ext xmlns:c16="http://schemas.microsoft.com/office/drawing/2014/chart" uri="{C3380CC4-5D6E-409C-BE32-E72D297353CC}">
              <c16:uniqueId val="{00000001-CED8-8548-8BDB-E89EDCAA6827}"/>
            </c:ext>
          </c:extLst>
        </c:ser>
        <c:ser>
          <c:idx val="2"/>
          <c:order val="2"/>
          <c:tx>
            <c:v>Wanninkhof 2014 O2</c:v>
          </c:tx>
          <c:spPr>
            <a:ln w="25400" cap="rnd">
              <a:noFill/>
              <a:round/>
            </a:ln>
            <a:effectLst/>
          </c:spPr>
          <c:marker>
            <c:symbol val="circle"/>
            <c:size val="5"/>
            <c:spPr>
              <a:solidFill>
                <a:schemeClr val="accent3"/>
              </a:solidFill>
              <a:ln w="9525">
                <a:solidFill>
                  <a:schemeClr val="accent3"/>
                </a:solidFill>
              </a:ln>
              <a:effectLst/>
            </c:spPr>
          </c:marker>
          <c:xVal>
            <c:numRef>
              <c:f>'Piston Velocity'!$A$21:$A$220</c:f>
              <c:numCache>
                <c:formatCode>General</c:formatCode>
                <c:ptCount val="200"/>
                <c:pt idx="0">
                  <c:v>0.1</c:v>
                </c:pt>
                <c:pt idx="1">
                  <c:v>0.2</c:v>
                </c:pt>
                <c:pt idx="2">
                  <c:v>0.3</c:v>
                </c:pt>
                <c:pt idx="3">
                  <c:v>0.4</c:v>
                </c:pt>
                <c:pt idx="4">
                  <c:v>0.5</c:v>
                </c:pt>
                <c:pt idx="5">
                  <c:v>0.6</c:v>
                </c:pt>
                <c:pt idx="6">
                  <c:v>0.7</c:v>
                </c:pt>
                <c:pt idx="7">
                  <c:v>0.8</c:v>
                </c:pt>
                <c:pt idx="8">
                  <c:v>0.9</c:v>
                </c:pt>
                <c:pt idx="9">
                  <c:v>1</c:v>
                </c:pt>
                <c:pt idx="10">
                  <c:v>1.1000000000000001</c:v>
                </c:pt>
                <c:pt idx="11">
                  <c:v>1.2</c:v>
                </c:pt>
                <c:pt idx="12">
                  <c:v>1.3</c:v>
                </c:pt>
                <c:pt idx="13">
                  <c:v>1.4</c:v>
                </c:pt>
                <c:pt idx="14">
                  <c:v>1.5</c:v>
                </c:pt>
                <c:pt idx="15">
                  <c:v>1.6</c:v>
                </c:pt>
                <c:pt idx="16">
                  <c:v>1.7</c:v>
                </c:pt>
                <c:pt idx="17">
                  <c:v>1.8</c:v>
                </c:pt>
                <c:pt idx="18">
                  <c:v>1.9</c:v>
                </c:pt>
                <c:pt idx="19">
                  <c:v>2</c:v>
                </c:pt>
                <c:pt idx="20">
                  <c:v>2.1</c:v>
                </c:pt>
                <c:pt idx="21">
                  <c:v>2.2000000000000002</c:v>
                </c:pt>
                <c:pt idx="22">
                  <c:v>2.2999999999999998</c:v>
                </c:pt>
                <c:pt idx="23">
                  <c:v>2.4</c:v>
                </c:pt>
                <c:pt idx="24">
                  <c:v>2.5</c:v>
                </c:pt>
                <c:pt idx="25">
                  <c:v>2.6</c:v>
                </c:pt>
                <c:pt idx="26">
                  <c:v>2.7</c:v>
                </c:pt>
                <c:pt idx="27">
                  <c:v>2.8</c:v>
                </c:pt>
                <c:pt idx="28">
                  <c:v>2.9</c:v>
                </c:pt>
                <c:pt idx="29">
                  <c:v>3</c:v>
                </c:pt>
                <c:pt idx="30">
                  <c:v>3.1</c:v>
                </c:pt>
                <c:pt idx="31">
                  <c:v>3.2</c:v>
                </c:pt>
                <c:pt idx="32">
                  <c:v>3.3</c:v>
                </c:pt>
                <c:pt idx="33">
                  <c:v>3.4</c:v>
                </c:pt>
                <c:pt idx="34">
                  <c:v>3.5</c:v>
                </c:pt>
                <c:pt idx="35">
                  <c:v>3.6</c:v>
                </c:pt>
                <c:pt idx="36">
                  <c:v>3.7</c:v>
                </c:pt>
                <c:pt idx="37">
                  <c:v>3.8</c:v>
                </c:pt>
                <c:pt idx="38">
                  <c:v>3.9</c:v>
                </c:pt>
                <c:pt idx="39">
                  <c:v>4</c:v>
                </c:pt>
                <c:pt idx="40">
                  <c:v>4.0999999999999996</c:v>
                </c:pt>
                <c:pt idx="41">
                  <c:v>4.2</c:v>
                </c:pt>
                <c:pt idx="42">
                  <c:v>4.3</c:v>
                </c:pt>
                <c:pt idx="43">
                  <c:v>4.4000000000000004</c:v>
                </c:pt>
                <c:pt idx="44">
                  <c:v>4.5</c:v>
                </c:pt>
                <c:pt idx="45">
                  <c:v>4.5999999999999996</c:v>
                </c:pt>
                <c:pt idx="46">
                  <c:v>4.7</c:v>
                </c:pt>
                <c:pt idx="47">
                  <c:v>4.8</c:v>
                </c:pt>
                <c:pt idx="48">
                  <c:v>4.9000000000000004</c:v>
                </c:pt>
                <c:pt idx="49">
                  <c:v>5</c:v>
                </c:pt>
                <c:pt idx="50">
                  <c:v>5.0999999999999996</c:v>
                </c:pt>
                <c:pt idx="51">
                  <c:v>5.2</c:v>
                </c:pt>
                <c:pt idx="52">
                  <c:v>5.3</c:v>
                </c:pt>
                <c:pt idx="53">
                  <c:v>5.4</c:v>
                </c:pt>
                <c:pt idx="54">
                  <c:v>5.5</c:v>
                </c:pt>
                <c:pt idx="55">
                  <c:v>5.6</c:v>
                </c:pt>
                <c:pt idx="56">
                  <c:v>5.7</c:v>
                </c:pt>
                <c:pt idx="57">
                  <c:v>5.8</c:v>
                </c:pt>
                <c:pt idx="58">
                  <c:v>5.9</c:v>
                </c:pt>
                <c:pt idx="59">
                  <c:v>6</c:v>
                </c:pt>
                <c:pt idx="60">
                  <c:v>6.1</c:v>
                </c:pt>
                <c:pt idx="61">
                  <c:v>6.2</c:v>
                </c:pt>
                <c:pt idx="62">
                  <c:v>6.3</c:v>
                </c:pt>
                <c:pt idx="63">
                  <c:v>6.4</c:v>
                </c:pt>
                <c:pt idx="64">
                  <c:v>6.5</c:v>
                </c:pt>
                <c:pt idx="65">
                  <c:v>6.6</c:v>
                </c:pt>
                <c:pt idx="66">
                  <c:v>6.7</c:v>
                </c:pt>
                <c:pt idx="67">
                  <c:v>6.8</c:v>
                </c:pt>
                <c:pt idx="68">
                  <c:v>6.9</c:v>
                </c:pt>
                <c:pt idx="69">
                  <c:v>7</c:v>
                </c:pt>
                <c:pt idx="70">
                  <c:v>7.1</c:v>
                </c:pt>
                <c:pt idx="71">
                  <c:v>7.2</c:v>
                </c:pt>
                <c:pt idx="72">
                  <c:v>7.3</c:v>
                </c:pt>
                <c:pt idx="73">
                  <c:v>7.4</c:v>
                </c:pt>
                <c:pt idx="74">
                  <c:v>7.5</c:v>
                </c:pt>
                <c:pt idx="75">
                  <c:v>7.6</c:v>
                </c:pt>
                <c:pt idx="76">
                  <c:v>7.7</c:v>
                </c:pt>
                <c:pt idx="77">
                  <c:v>7.8</c:v>
                </c:pt>
                <c:pt idx="78">
                  <c:v>7.9</c:v>
                </c:pt>
                <c:pt idx="79">
                  <c:v>8</c:v>
                </c:pt>
                <c:pt idx="80">
                  <c:v>8.1</c:v>
                </c:pt>
                <c:pt idx="81">
                  <c:v>8.1999999999999993</c:v>
                </c:pt>
                <c:pt idx="82">
                  <c:v>8.3000000000000007</c:v>
                </c:pt>
                <c:pt idx="83">
                  <c:v>8.4</c:v>
                </c:pt>
                <c:pt idx="84">
                  <c:v>8.5</c:v>
                </c:pt>
                <c:pt idx="85">
                  <c:v>8.6</c:v>
                </c:pt>
                <c:pt idx="86">
                  <c:v>8.6999999999999993</c:v>
                </c:pt>
                <c:pt idx="87">
                  <c:v>8.8000000000000007</c:v>
                </c:pt>
                <c:pt idx="88">
                  <c:v>8.9</c:v>
                </c:pt>
                <c:pt idx="89">
                  <c:v>9</c:v>
                </c:pt>
                <c:pt idx="90">
                  <c:v>9.1</c:v>
                </c:pt>
                <c:pt idx="91">
                  <c:v>9.1999999999999993</c:v>
                </c:pt>
                <c:pt idx="92">
                  <c:v>9.3000000000000007</c:v>
                </c:pt>
                <c:pt idx="93">
                  <c:v>9.4</c:v>
                </c:pt>
                <c:pt idx="94">
                  <c:v>9.5</c:v>
                </c:pt>
                <c:pt idx="95">
                  <c:v>9.6</c:v>
                </c:pt>
                <c:pt idx="96">
                  <c:v>9.6999999999999993</c:v>
                </c:pt>
                <c:pt idx="97">
                  <c:v>9.8000000000000007</c:v>
                </c:pt>
                <c:pt idx="98">
                  <c:v>9.9</c:v>
                </c:pt>
                <c:pt idx="99">
                  <c:v>10</c:v>
                </c:pt>
                <c:pt idx="100">
                  <c:v>10.1</c:v>
                </c:pt>
                <c:pt idx="101">
                  <c:v>10.199999999999999</c:v>
                </c:pt>
                <c:pt idx="102">
                  <c:v>10.3</c:v>
                </c:pt>
                <c:pt idx="103">
                  <c:v>10.4</c:v>
                </c:pt>
                <c:pt idx="104">
                  <c:v>10.5</c:v>
                </c:pt>
                <c:pt idx="105">
                  <c:v>10.6</c:v>
                </c:pt>
                <c:pt idx="106">
                  <c:v>10.7</c:v>
                </c:pt>
                <c:pt idx="107">
                  <c:v>10.8</c:v>
                </c:pt>
                <c:pt idx="108">
                  <c:v>10.9</c:v>
                </c:pt>
                <c:pt idx="109">
                  <c:v>11</c:v>
                </c:pt>
                <c:pt idx="110">
                  <c:v>11.1</c:v>
                </c:pt>
                <c:pt idx="111">
                  <c:v>11.2</c:v>
                </c:pt>
                <c:pt idx="112">
                  <c:v>11.3</c:v>
                </c:pt>
                <c:pt idx="113">
                  <c:v>11.4</c:v>
                </c:pt>
                <c:pt idx="114">
                  <c:v>11.5</c:v>
                </c:pt>
                <c:pt idx="115">
                  <c:v>11.6</c:v>
                </c:pt>
                <c:pt idx="116">
                  <c:v>11.7</c:v>
                </c:pt>
                <c:pt idx="117">
                  <c:v>11.8</c:v>
                </c:pt>
                <c:pt idx="118">
                  <c:v>11.9</c:v>
                </c:pt>
                <c:pt idx="119">
                  <c:v>12</c:v>
                </c:pt>
                <c:pt idx="120">
                  <c:v>12.1</c:v>
                </c:pt>
                <c:pt idx="121">
                  <c:v>12.2</c:v>
                </c:pt>
                <c:pt idx="122">
                  <c:v>12.3</c:v>
                </c:pt>
                <c:pt idx="123">
                  <c:v>12.4</c:v>
                </c:pt>
                <c:pt idx="124">
                  <c:v>12.5</c:v>
                </c:pt>
                <c:pt idx="125">
                  <c:v>12.6</c:v>
                </c:pt>
                <c:pt idx="126">
                  <c:v>12.7</c:v>
                </c:pt>
                <c:pt idx="127">
                  <c:v>12.8</c:v>
                </c:pt>
                <c:pt idx="128">
                  <c:v>12.9</c:v>
                </c:pt>
                <c:pt idx="129">
                  <c:v>13</c:v>
                </c:pt>
                <c:pt idx="130">
                  <c:v>13.1</c:v>
                </c:pt>
                <c:pt idx="131">
                  <c:v>13.2</c:v>
                </c:pt>
                <c:pt idx="132">
                  <c:v>13.3</c:v>
                </c:pt>
                <c:pt idx="133">
                  <c:v>13.4</c:v>
                </c:pt>
                <c:pt idx="134">
                  <c:v>13.5</c:v>
                </c:pt>
                <c:pt idx="135">
                  <c:v>13.6</c:v>
                </c:pt>
                <c:pt idx="136">
                  <c:v>13.7</c:v>
                </c:pt>
                <c:pt idx="137">
                  <c:v>13.8</c:v>
                </c:pt>
                <c:pt idx="138">
                  <c:v>13.9</c:v>
                </c:pt>
                <c:pt idx="139">
                  <c:v>14</c:v>
                </c:pt>
                <c:pt idx="140">
                  <c:v>14.1</c:v>
                </c:pt>
                <c:pt idx="141">
                  <c:v>14.2</c:v>
                </c:pt>
                <c:pt idx="142">
                  <c:v>14.3</c:v>
                </c:pt>
                <c:pt idx="143">
                  <c:v>14.4</c:v>
                </c:pt>
                <c:pt idx="144">
                  <c:v>14.5</c:v>
                </c:pt>
                <c:pt idx="145">
                  <c:v>14.6</c:v>
                </c:pt>
                <c:pt idx="146">
                  <c:v>14.7</c:v>
                </c:pt>
                <c:pt idx="147">
                  <c:v>14.8</c:v>
                </c:pt>
                <c:pt idx="148">
                  <c:v>14.9</c:v>
                </c:pt>
                <c:pt idx="149">
                  <c:v>15</c:v>
                </c:pt>
                <c:pt idx="150">
                  <c:v>15.1</c:v>
                </c:pt>
                <c:pt idx="151">
                  <c:v>15.2</c:v>
                </c:pt>
                <c:pt idx="152">
                  <c:v>15.3</c:v>
                </c:pt>
                <c:pt idx="153">
                  <c:v>15.4</c:v>
                </c:pt>
                <c:pt idx="154">
                  <c:v>15.5</c:v>
                </c:pt>
                <c:pt idx="155">
                  <c:v>15.6</c:v>
                </c:pt>
                <c:pt idx="156">
                  <c:v>15.7</c:v>
                </c:pt>
                <c:pt idx="157">
                  <c:v>15.8</c:v>
                </c:pt>
                <c:pt idx="158">
                  <c:v>15.9</c:v>
                </c:pt>
                <c:pt idx="159">
                  <c:v>16</c:v>
                </c:pt>
                <c:pt idx="160">
                  <c:v>16.100000000000001</c:v>
                </c:pt>
                <c:pt idx="161">
                  <c:v>16.2</c:v>
                </c:pt>
                <c:pt idx="162">
                  <c:v>16.3</c:v>
                </c:pt>
                <c:pt idx="163">
                  <c:v>16.399999999999999</c:v>
                </c:pt>
                <c:pt idx="164">
                  <c:v>16.5</c:v>
                </c:pt>
                <c:pt idx="165">
                  <c:v>16.600000000000001</c:v>
                </c:pt>
                <c:pt idx="166">
                  <c:v>16.7</c:v>
                </c:pt>
                <c:pt idx="167">
                  <c:v>16.8</c:v>
                </c:pt>
                <c:pt idx="168">
                  <c:v>16.899999999999999</c:v>
                </c:pt>
                <c:pt idx="169">
                  <c:v>17</c:v>
                </c:pt>
                <c:pt idx="170">
                  <c:v>17.100000000000001</c:v>
                </c:pt>
                <c:pt idx="171">
                  <c:v>17.2</c:v>
                </c:pt>
                <c:pt idx="172">
                  <c:v>17.3</c:v>
                </c:pt>
                <c:pt idx="173">
                  <c:v>17.399999999999999</c:v>
                </c:pt>
                <c:pt idx="174">
                  <c:v>17.5</c:v>
                </c:pt>
                <c:pt idx="175">
                  <c:v>17.600000000000001</c:v>
                </c:pt>
                <c:pt idx="176">
                  <c:v>17.7</c:v>
                </c:pt>
                <c:pt idx="177">
                  <c:v>17.8</c:v>
                </c:pt>
                <c:pt idx="178">
                  <c:v>17.899999999999999</c:v>
                </c:pt>
                <c:pt idx="179">
                  <c:v>18</c:v>
                </c:pt>
                <c:pt idx="180">
                  <c:v>18.100000000000001</c:v>
                </c:pt>
                <c:pt idx="181">
                  <c:v>18.2</c:v>
                </c:pt>
                <c:pt idx="182">
                  <c:v>18.3</c:v>
                </c:pt>
                <c:pt idx="183">
                  <c:v>18.399999999999999</c:v>
                </c:pt>
                <c:pt idx="184">
                  <c:v>18.5</c:v>
                </c:pt>
                <c:pt idx="185">
                  <c:v>18.600000000000001</c:v>
                </c:pt>
                <c:pt idx="186">
                  <c:v>18.7</c:v>
                </c:pt>
                <c:pt idx="187">
                  <c:v>18.8</c:v>
                </c:pt>
                <c:pt idx="188">
                  <c:v>18.899999999999999</c:v>
                </c:pt>
                <c:pt idx="189">
                  <c:v>19</c:v>
                </c:pt>
                <c:pt idx="190">
                  <c:v>19.100000000000001</c:v>
                </c:pt>
                <c:pt idx="191">
                  <c:v>19.2</c:v>
                </c:pt>
                <c:pt idx="192">
                  <c:v>19.3</c:v>
                </c:pt>
                <c:pt idx="193">
                  <c:v>19.399999999999999</c:v>
                </c:pt>
                <c:pt idx="194">
                  <c:v>19.5</c:v>
                </c:pt>
                <c:pt idx="195">
                  <c:v>19.600000000000001</c:v>
                </c:pt>
                <c:pt idx="196">
                  <c:v>19.7</c:v>
                </c:pt>
                <c:pt idx="197">
                  <c:v>19.8</c:v>
                </c:pt>
                <c:pt idx="198">
                  <c:v>19.899999999999999</c:v>
                </c:pt>
                <c:pt idx="199">
                  <c:v>20</c:v>
                </c:pt>
              </c:numCache>
            </c:numRef>
          </c:xVal>
          <c:yVal>
            <c:numRef>
              <c:f>'Piston Velocity'!$G$21:$G$220</c:f>
              <c:numCache>
                <c:formatCode>General</c:formatCode>
                <c:ptCount val="200"/>
                <c:pt idx="0">
                  <c:v>3.4497872948295869E-5</c:v>
                </c:pt>
                <c:pt idx="1">
                  <c:v>1.3799149179318348E-4</c:v>
                </c:pt>
                <c:pt idx="2">
                  <c:v>3.1048085653466277E-4</c:v>
                </c:pt>
                <c:pt idx="3">
                  <c:v>5.519659671727339E-4</c:v>
                </c:pt>
                <c:pt idx="4">
                  <c:v>8.6244682370739667E-4</c:v>
                </c:pt>
                <c:pt idx="5">
                  <c:v>1.2419234261386511E-3</c:v>
                </c:pt>
                <c:pt idx="6">
                  <c:v>1.6903957744664971E-3</c:v>
                </c:pt>
                <c:pt idx="7">
                  <c:v>2.2078638686909356E-3</c:v>
                </c:pt>
                <c:pt idx="8">
                  <c:v>2.7943277088119649E-3</c:v>
                </c:pt>
                <c:pt idx="9">
                  <c:v>3.4497872948295867E-3</c:v>
                </c:pt>
                <c:pt idx="10">
                  <c:v>4.1742426267438E-3</c:v>
                </c:pt>
                <c:pt idx="11">
                  <c:v>4.9676937045546044E-3</c:v>
                </c:pt>
                <c:pt idx="12">
                  <c:v>5.830140528262002E-3</c:v>
                </c:pt>
                <c:pt idx="13">
                  <c:v>6.7615830978659886E-3</c:v>
                </c:pt>
                <c:pt idx="14">
                  <c:v>7.7620214133665684E-3</c:v>
                </c:pt>
                <c:pt idx="15">
                  <c:v>8.8314554747637424E-3</c:v>
                </c:pt>
                <c:pt idx="16">
                  <c:v>9.9698852820575019E-3</c:v>
                </c:pt>
                <c:pt idx="17">
                  <c:v>1.117731083524786E-2</c:v>
                </c:pt>
                <c:pt idx="18">
                  <c:v>1.2453732134334808E-2</c:v>
                </c:pt>
                <c:pt idx="19">
                  <c:v>1.3799149179318347E-2</c:v>
                </c:pt>
                <c:pt idx="20">
                  <c:v>1.5213561970198478E-2</c:v>
                </c:pt>
                <c:pt idx="21">
                  <c:v>1.66969705069752E-2</c:v>
                </c:pt>
                <c:pt idx="22">
                  <c:v>1.8249374789648509E-2</c:v>
                </c:pt>
                <c:pt idx="23">
                  <c:v>1.9870774818218417E-2</c:v>
                </c:pt>
                <c:pt idx="24">
                  <c:v>2.1561170592684916E-2</c:v>
                </c:pt>
                <c:pt idx="25">
                  <c:v>2.3320562113048008E-2</c:v>
                </c:pt>
                <c:pt idx="26">
                  <c:v>2.514894937930769E-2</c:v>
                </c:pt>
                <c:pt idx="27">
                  <c:v>2.7046332391463954E-2</c:v>
                </c:pt>
                <c:pt idx="28">
                  <c:v>2.9012711149516823E-2</c:v>
                </c:pt>
                <c:pt idx="29">
                  <c:v>3.1048085653466274E-2</c:v>
                </c:pt>
                <c:pt idx="30">
                  <c:v>3.3152455903312325E-2</c:v>
                </c:pt>
                <c:pt idx="31">
                  <c:v>3.532582189905497E-2</c:v>
                </c:pt>
                <c:pt idx="32">
                  <c:v>3.756818364069419E-2</c:v>
                </c:pt>
                <c:pt idx="33">
                  <c:v>3.9879541128230007E-2</c:v>
                </c:pt>
                <c:pt idx="34">
                  <c:v>4.2259894361662428E-2</c:v>
                </c:pt>
                <c:pt idx="35">
                  <c:v>4.4709243340991439E-2</c:v>
                </c:pt>
                <c:pt idx="36">
                  <c:v>4.7227588066217047E-2</c:v>
                </c:pt>
                <c:pt idx="37">
                  <c:v>4.981492853733923E-2</c:v>
                </c:pt>
                <c:pt idx="38">
                  <c:v>5.247126475435801E-2</c:v>
                </c:pt>
                <c:pt idx="39">
                  <c:v>5.5196596717273387E-2</c:v>
                </c:pt>
                <c:pt idx="40">
                  <c:v>5.7990924426085347E-2</c:v>
                </c:pt>
                <c:pt idx="41">
                  <c:v>6.085424788079391E-2</c:v>
                </c:pt>
                <c:pt idx="42">
                  <c:v>6.3786567081399043E-2</c:v>
                </c:pt>
                <c:pt idx="43">
                  <c:v>6.67878820279008E-2</c:v>
                </c:pt>
                <c:pt idx="44">
                  <c:v>6.9858192720299125E-2</c:v>
                </c:pt>
                <c:pt idx="45">
                  <c:v>7.2997499158594034E-2</c:v>
                </c:pt>
                <c:pt idx="46">
                  <c:v>7.6205801342785581E-2</c:v>
                </c:pt>
                <c:pt idx="47">
                  <c:v>7.948309927287367E-2</c:v>
                </c:pt>
                <c:pt idx="48">
                  <c:v>8.2829392948858369E-2</c:v>
                </c:pt>
                <c:pt idx="49">
                  <c:v>8.6244682370739664E-2</c:v>
                </c:pt>
                <c:pt idx="50">
                  <c:v>8.9728967538517529E-2</c:v>
                </c:pt>
                <c:pt idx="51">
                  <c:v>9.3282248452192032E-2</c:v>
                </c:pt>
                <c:pt idx="52">
                  <c:v>9.6904525111763076E-2</c:v>
                </c:pt>
                <c:pt idx="53">
                  <c:v>0.10059579751723076</c:v>
                </c:pt>
                <c:pt idx="54">
                  <c:v>0.10435606566859498</c:v>
                </c:pt>
                <c:pt idx="55">
                  <c:v>0.10818532956585582</c:v>
                </c:pt>
                <c:pt idx="56">
                  <c:v>0.11208358920901325</c:v>
                </c:pt>
                <c:pt idx="57">
                  <c:v>0.11605084459806729</c:v>
                </c:pt>
                <c:pt idx="58">
                  <c:v>0.12008709573301792</c:v>
                </c:pt>
                <c:pt idx="59">
                  <c:v>0.12419234261386509</c:v>
                </c:pt>
                <c:pt idx="60">
                  <c:v>0.1283665852406089</c:v>
                </c:pt>
                <c:pt idx="61">
                  <c:v>0.1326098236132493</c:v>
                </c:pt>
                <c:pt idx="62">
                  <c:v>0.13692205773178628</c:v>
                </c:pt>
                <c:pt idx="63">
                  <c:v>0.14130328759621988</c:v>
                </c:pt>
                <c:pt idx="64">
                  <c:v>0.14575351320655</c:v>
                </c:pt>
                <c:pt idx="65">
                  <c:v>0.15027273456277676</c:v>
                </c:pt>
                <c:pt idx="66">
                  <c:v>0.15486095166490013</c:v>
                </c:pt>
                <c:pt idx="67">
                  <c:v>0.15951816451292003</c:v>
                </c:pt>
                <c:pt idx="68">
                  <c:v>0.16424437310683665</c:v>
                </c:pt>
                <c:pt idx="69">
                  <c:v>0.16903957744664971</c:v>
                </c:pt>
                <c:pt idx="70">
                  <c:v>0.17390377753235942</c:v>
                </c:pt>
                <c:pt idx="71">
                  <c:v>0.17883697336396576</c:v>
                </c:pt>
                <c:pt idx="72">
                  <c:v>0.18383916494146868</c:v>
                </c:pt>
                <c:pt idx="73">
                  <c:v>0.18891035226486819</c:v>
                </c:pt>
                <c:pt idx="74">
                  <c:v>0.19405053533416425</c:v>
                </c:pt>
                <c:pt idx="75">
                  <c:v>0.19925971414935692</c:v>
                </c:pt>
                <c:pt idx="76">
                  <c:v>0.2045378887104462</c:v>
                </c:pt>
                <c:pt idx="77">
                  <c:v>0.20988505901743204</c:v>
                </c:pt>
                <c:pt idx="78">
                  <c:v>0.21530122507031449</c:v>
                </c:pt>
                <c:pt idx="79">
                  <c:v>0.22078638686909355</c:v>
                </c:pt>
                <c:pt idx="80">
                  <c:v>0.22634054441376913</c:v>
                </c:pt>
                <c:pt idx="81">
                  <c:v>0.23196369770434139</c:v>
                </c:pt>
                <c:pt idx="82">
                  <c:v>0.23765584674081025</c:v>
                </c:pt>
                <c:pt idx="83">
                  <c:v>0.24341699152317564</c:v>
                </c:pt>
                <c:pt idx="84">
                  <c:v>0.24924713205143761</c:v>
                </c:pt>
                <c:pt idx="85">
                  <c:v>0.25514626832559617</c:v>
                </c:pt>
                <c:pt idx="86">
                  <c:v>0.26111440034565137</c:v>
                </c:pt>
                <c:pt idx="87">
                  <c:v>0.2671515281116032</c:v>
                </c:pt>
                <c:pt idx="88">
                  <c:v>0.27325765162345156</c:v>
                </c:pt>
                <c:pt idx="89">
                  <c:v>0.2794327708811965</c:v>
                </c:pt>
                <c:pt idx="90">
                  <c:v>0.28567688588483797</c:v>
                </c:pt>
                <c:pt idx="91">
                  <c:v>0.29198999663437614</c:v>
                </c:pt>
                <c:pt idx="92">
                  <c:v>0.29837210312981094</c:v>
                </c:pt>
                <c:pt idx="93">
                  <c:v>0.30482320537114233</c:v>
                </c:pt>
                <c:pt idx="94">
                  <c:v>0.31134330335837018</c:v>
                </c:pt>
                <c:pt idx="95">
                  <c:v>0.31793239709149468</c:v>
                </c:pt>
                <c:pt idx="96">
                  <c:v>0.32459048657051576</c:v>
                </c:pt>
                <c:pt idx="97">
                  <c:v>0.33131757179543347</c:v>
                </c:pt>
                <c:pt idx="98">
                  <c:v>0.33811365276624777</c:v>
                </c:pt>
                <c:pt idx="99">
                  <c:v>0.34497872948295866</c:v>
                </c:pt>
                <c:pt idx="100">
                  <c:v>0.35191280194556607</c:v>
                </c:pt>
                <c:pt idx="101">
                  <c:v>0.35891587015407012</c:v>
                </c:pt>
                <c:pt idx="102">
                  <c:v>0.36598793410847091</c:v>
                </c:pt>
                <c:pt idx="103">
                  <c:v>0.37312899380876813</c:v>
                </c:pt>
                <c:pt idx="104">
                  <c:v>0.38033904925496187</c:v>
                </c:pt>
                <c:pt idx="105">
                  <c:v>0.38761810044705231</c:v>
                </c:pt>
                <c:pt idx="106">
                  <c:v>0.39496614738503927</c:v>
                </c:pt>
                <c:pt idx="107">
                  <c:v>0.40238319006892304</c:v>
                </c:pt>
                <c:pt idx="108">
                  <c:v>0.40986922849870316</c:v>
                </c:pt>
                <c:pt idx="109">
                  <c:v>0.41742426267437993</c:v>
                </c:pt>
                <c:pt idx="110">
                  <c:v>0.42504829259595334</c:v>
                </c:pt>
                <c:pt idx="111">
                  <c:v>0.43274131826342327</c:v>
                </c:pt>
                <c:pt idx="112">
                  <c:v>0.4405033396767899</c:v>
                </c:pt>
                <c:pt idx="113">
                  <c:v>0.44833435683605299</c:v>
                </c:pt>
                <c:pt idx="114">
                  <c:v>0.45623436974121279</c:v>
                </c:pt>
                <c:pt idx="115">
                  <c:v>0.46420337839226916</c:v>
                </c:pt>
                <c:pt idx="116">
                  <c:v>0.47224138278922206</c:v>
                </c:pt>
                <c:pt idx="117">
                  <c:v>0.48034838293207166</c:v>
                </c:pt>
                <c:pt idx="118">
                  <c:v>0.48852437882081778</c:v>
                </c:pt>
                <c:pt idx="119">
                  <c:v>0.49676937045546038</c:v>
                </c:pt>
                <c:pt idx="120">
                  <c:v>0.50508335783599978</c:v>
                </c:pt>
                <c:pt idx="121">
                  <c:v>0.5134663409624356</c:v>
                </c:pt>
                <c:pt idx="122">
                  <c:v>0.52191831983476822</c:v>
                </c:pt>
                <c:pt idx="123">
                  <c:v>0.5304392944529972</c:v>
                </c:pt>
                <c:pt idx="124">
                  <c:v>0.53902926481712288</c:v>
                </c:pt>
                <c:pt idx="125">
                  <c:v>0.54768823092714514</c:v>
                </c:pt>
                <c:pt idx="126">
                  <c:v>0.55641619278306398</c:v>
                </c:pt>
                <c:pt idx="127">
                  <c:v>0.56521315038487951</c:v>
                </c:pt>
                <c:pt idx="128">
                  <c:v>0.57407910373259141</c:v>
                </c:pt>
                <c:pt idx="129">
                  <c:v>0.5830140528262</c:v>
                </c:pt>
                <c:pt idx="130">
                  <c:v>0.59201799766570529</c:v>
                </c:pt>
                <c:pt idx="131">
                  <c:v>0.60109093825110704</c:v>
                </c:pt>
                <c:pt idx="132">
                  <c:v>0.6102328745824056</c:v>
                </c:pt>
                <c:pt idx="133">
                  <c:v>0.61944380665960053</c:v>
                </c:pt>
                <c:pt idx="134">
                  <c:v>0.62872373448269214</c:v>
                </c:pt>
                <c:pt idx="135">
                  <c:v>0.63807265805168012</c:v>
                </c:pt>
                <c:pt idx="136">
                  <c:v>0.64749057736656501</c:v>
                </c:pt>
                <c:pt idx="137">
                  <c:v>0.6569774924273466</c:v>
                </c:pt>
                <c:pt idx="138">
                  <c:v>0.66653340323402444</c:v>
                </c:pt>
                <c:pt idx="139">
                  <c:v>0.67615830978659885</c:v>
                </c:pt>
                <c:pt idx="140">
                  <c:v>0.68585221208507008</c:v>
                </c:pt>
                <c:pt idx="141">
                  <c:v>0.69561511012943766</c:v>
                </c:pt>
                <c:pt idx="142">
                  <c:v>0.70544700391970205</c:v>
                </c:pt>
                <c:pt idx="143">
                  <c:v>0.71534789345586303</c:v>
                </c:pt>
                <c:pt idx="144">
                  <c:v>0.72531777873792047</c:v>
                </c:pt>
                <c:pt idx="145">
                  <c:v>0.73535665976587472</c:v>
                </c:pt>
                <c:pt idx="146">
                  <c:v>0.74546453653972522</c:v>
                </c:pt>
                <c:pt idx="147">
                  <c:v>0.75564140905947275</c:v>
                </c:pt>
                <c:pt idx="148">
                  <c:v>0.76588727732511641</c:v>
                </c:pt>
                <c:pt idx="149">
                  <c:v>0.77620214133665699</c:v>
                </c:pt>
                <c:pt idx="150">
                  <c:v>0.78658600109409393</c:v>
                </c:pt>
                <c:pt idx="151">
                  <c:v>0.79703885659742768</c:v>
                </c:pt>
                <c:pt idx="152">
                  <c:v>0.8075607078466579</c:v>
                </c:pt>
                <c:pt idx="153">
                  <c:v>0.81815155484178481</c:v>
                </c:pt>
                <c:pt idx="154">
                  <c:v>0.82881139758280808</c:v>
                </c:pt>
                <c:pt idx="155">
                  <c:v>0.83954023606972816</c:v>
                </c:pt>
                <c:pt idx="156">
                  <c:v>0.8503380703025446</c:v>
                </c:pt>
                <c:pt idx="157">
                  <c:v>0.86120490028125796</c:v>
                </c:pt>
                <c:pt idx="158">
                  <c:v>0.87214072600586778</c:v>
                </c:pt>
                <c:pt idx="159">
                  <c:v>0.88314554747637419</c:v>
                </c:pt>
                <c:pt idx="160">
                  <c:v>0.89421936469277707</c:v>
                </c:pt>
                <c:pt idx="161">
                  <c:v>0.90536217765507654</c:v>
                </c:pt>
                <c:pt idx="162">
                  <c:v>0.91657398636327292</c:v>
                </c:pt>
                <c:pt idx="163">
                  <c:v>0.92785479081736555</c:v>
                </c:pt>
                <c:pt idx="164">
                  <c:v>0.93920459101735487</c:v>
                </c:pt>
                <c:pt idx="165">
                  <c:v>0.950623386963241</c:v>
                </c:pt>
                <c:pt idx="166">
                  <c:v>0.96211117865502327</c:v>
                </c:pt>
                <c:pt idx="167">
                  <c:v>0.97366796609270256</c:v>
                </c:pt>
                <c:pt idx="168">
                  <c:v>0.98529374927627811</c:v>
                </c:pt>
                <c:pt idx="169">
                  <c:v>0.99698852820575046</c:v>
                </c:pt>
                <c:pt idx="170">
                  <c:v>1.0087523028811196</c:v>
                </c:pt>
                <c:pt idx="171">
                  <c:v>1.0205850733023847</c:v>
                </c:pt>
                <c:pt idx="172">
                  <c:v>1.032486839469547</c:v>
                </c:pt>
                <c:pt idx="173">
                  <c:v>1.0444576013826055</c:v>
                </c:pt>
                <c:pt idx="174">
                  <c:v>1.0564973590415609</c:v>
                </c:pt>
                <c:pt idx="175">
                  <c:v>1.0686061124464128</c:v>
                </c:pt>
                <c:pt idx="176">
                  <c:v>1.080783861597161</c:v>
                </c:pt>
                <c:pt idx="177">
                  <c:v>1.0930306064938062</c:v>
                </c:pt>
                <c:pt idx="178">
                  <c:v>1.1053463471363476</c:v>
                </c:pt>
                <c:pt idx="179">
                  <c:v>1.117731083524786</c:v>
                </c:pt>
                <c:pt idx="180">
                  <c:v>1.1301848156591212</c:v>
                </c:pt>
                <c:pt idx="181">
                  <c:v>1.1427075435393519</c:v>
                </c:pt>
                <c:pt idx="182">
                  <c:v>1.1552992671654803</c:v>
                </c:pt>
                <c:pt idx="183">
                  <c:v>1.1679599865375045</c:v>
                </c:pt>
                <c:pt idx="184">
                  <c:v>1.1806897016554261</c:v>
                </c:pt>
                <c:pt idx="185">
                  <c:v>1.1934884125192438</c:v>
                </c:pt>
                <c:pt idx="186">
                  <c:v>1.206356119128958</c:v>
                </c:pt>
                <c:pt idx="187">
                  <c:v>1.2192928214845693</c:v>
                </c:pt>
                <c:pt idx="188">
                  <c:v>1.2322985195860763</c:v>
                </c:pt>
                <c:pt idx="189">
                  <c:v>1.2453732134334807</c:v>
                </c:pt>
                <c:pt idx="190">
                  <c:v>1.2585169030267815</c:v>
                </c:pt>
                <c:pt idx="191">
                  <c:v>1.2717295883659787</c:v>
                </c:pt>
                <c:pt idx="192">
                  <c:v>1.2850112694510727</c:v>
                </c:pt>
                <c:pt idx="193">
                  <c:v>1.298361946282063</c:v>
                </c:pt>
                <c:pt idx="194">
                  <c:v>1.3117816188589504</c:v>
                </c:pt>
                <c:pt idx="195">
                  <c:v>1.3252702871817339</c:v>
                </c:pt>
                <c:pt idx="196">
                  <c:v>1.3388279512504142</c:v>
                </c:pt>
                <c:pt idx="197">
                  <c:v>1.3524546110649911</c:v>
                </c:pt>
                <c:pt idx="198">
                  <c:v>1.3661502666254643</c:v>
                </c:pt>
                <c:pt idx="199">
                  <c:v>1.3799149179318346</c:v>
                </c:pt>
              </c:numCache>
            </c:numRef>
          </c:yVal>
          <c:smooth val="0"/>
          <c:extLst>
            <c:ext xmlns:c16="http://schemas.microsoft.com/office/drawing/2014/chart" uri="{C3380CC4-5D6E-409C-BE32-E72D297353CC}">
              <c16:uniqueId val="{00000002-CED8-8548-8BDB-E89EDCAA6827}"/>
            </c:ext>
          </c:extLst>
        </c:ser>
        <c:ser>
          <c:idx val="3"/>
          <c:order val="3"/>
          <c:tx>
            <c:v>Wanninkhof 2014 CO2</c:v>
          </c:tx>
          <c:spPr>
            <a:ln w="25400" cap="rnd">
              <a:noFill/>
              <a:round/>
            </a:ln>
            <a:effectLst/>
          </c:spPr>
          <c:marker>
            <c:symbol val="circle"/>
            <c:size val="5"/>
            <c:spPr>
              <a:solidFill>
                <a:schemeClr val="accent4"/>
              </a:solidFill>
              <a:ln w="9525">
                <a:solidFill>
                  <a:schemeClr val="accent4"/>
                </a:solidFill>
              </a:ln>
              <a:effectLst/>
            </c:spPr>
          </c:marker>
          <c:xVal>
            <c:numRef>
              <c:f>'Piston Velocity'!$A$21:$A$220</c:f>
              <c:numCache>
                <c:formatCode>General</c:formatCode>
                <c:ptCount val="200"/>
                <c:pt idx="0">
                  <c:v>0.1</c:v>
                </c:pt>
                <c:pt idx="1">
                  <c:v>0.2</c:v>
                </c:pt>
                <c:pt idx="2">
                  <c:v>0.3</c:v>
                </c:pt>
                <c:pt idx="3">
                  <c:v>0.4</c:v>
                </c:pt>
                <c:pt idx="4">
                  <c:v>0.5</c:v>
                </c:pt>
                <c:pt idx="5">
                  <c:v>0.6</c:v>
                </c:pt>
                <c:pt idx="6">
                  <c:v>0.7</c:v>
                </c:pt>
                <c:pt idx="7">
                  <c:v>0.8</c:v>
                </c:pt>
                <c:pt idx="8">
                  <c:v>0.9</c:v>
                </c:pt>
                <c:pt idx="9">
                  <c:v>1</c:v>
                </c:pt>
                <c:pt idx="10">
                  <c:v>1.1000000000000001</c:v>
                </c:pt>
                <c:pt idx="11">
                  <c:v>1.2</c:v>
                </c:pt>
                <c:pt idx="12">
                  <c:v>1.3</c:v>
                </c:pt>
                <c:pt idx="13">
                  <c:v>1.4</c:v>
                </c:pt>
                <c:pt idx="14">
                  <c:v>1.5</c:v>
                </c:pt>
                <c:pt idx="15">
                  <c:v>1.6</c:v>
                </c:pt>
                <c:pt idx="16">
                  <c:v>1.7</c:v>
                </c:pt>
                <c:pt idx="17">
                  <c:v>1.8</c:v>
                </c:pt>
                <c:pt idx="18">
                  <c:v>1.9</c:v>
                </c:pt>
                <c:pt idx="19">
                  <c:v>2</c:v>
                </c:pt>
                <c:pt idx="20">
                  <c:v>2.1</c:v>
                </c:pt>
                <c:pt idx="21">
                  <c:v>2.2000000000000002</c:v>
                </c:pt>
                <c:pt idx="22">
                  <c:v>2.2999999999999998</c:v>
                </c:pt>
                <c:pt idx="23">
                  <c:v>2.4</c:v>
                </c:pt>
                <c:pt idx="24">
                  <c:v>2.5</c:v>
                </c:pt>
                <c:pt idx="25">
                  <c:v>2.6</c:v>
                </c:pt>
                <c:pt idx="26">
                  <c:v>2.7</c:v>
                </c:pt>
                <c:pt idx="27">
                  <c:v>2.8</c:v>
                </c:pt>
                <c:pt idx="28">
                  <c:v>2.9</c:v>
                </c:pt>
                <c:pt idx="29">
                  <c:v>3</c:v>
                </c:pt>
                <c:pt idx="30">
                  <c:v>3.1</c:v>
                </c:pt>
                <c:pt idx="31">
                  <c:v>3.2</c:v>
                </c:pt>
                <c:pt idx="32">
                  <c:v>3.3</c:v>
                </c:pt>
                <c:pt idx="33">
                  <c:v>3.4</c:v>
                </c:pt>
                <c:pt idx="34">
                  <c:v>3.5</c:v>
                </c:pt>
                <c:pt idx="35">
                  <c:v>3.6</c:v>
                </c:pt>
                <c:pt idx="36">
                  <c:v>3.7</c:v>
                </c:pt>
                <c:pt idx="37">
                  <c:v>3.8</c:v>
                </c:pt>
                <c:pt idx="38">
                  <c:v>3.9</c:v>
                </c:pt>
                <c:pt idx="39">
                  <c:v>4</c:v>
                </c:pt>
                <c:pt idx="40">
                  <c:v>4.0999999999999996</c:v>
                </c:pt>
                <c:pt idx="41">
                  <c:v>4.2</c:v>
                </c:pt>
                <c:pt idx="42">
                  <c:v>4.3</c:v>
                </c:pt>
                <c:pt idx="43">
                  <c:v>4.4000000000000004</c:v>
                </c:pt>
                <c:pt idx="44">
                  <c:v>4.5</c:v>
                </c:pt>
                <c:pt idx="45">
                  <c:v>4.5999999999999996</c:v>
                </c:pt>
                <c:pt idx="46">
                  <c:v>4.7</c:v>
                </c:pt>
                <c:pt idx="47">
                  <c:v>4.8</c:v>
                </c:pt>
                <c:pt idx="48">
                  <c:v>4.9000000000000004</c:v>
                </c:pt>
                <c:pt idx="49">
                  <c:v>5</c:v>
                </c:pt>
                <c:pt idx="50">
                  <c:v>5.0999999999999996</c:v>
                </c:pt>
                <c:pt idx="51">
                  <c:v>5.2</c:v>
                </c:pt>
                <c:pt idx="52">
                  <c:v>5.3</c:v>
                </c:pt>
                <c:pt idx="53">
                  <c:v>5.4</c:v>
                </c:pt>
                <c:pt idx="54">
                  <c:v>5.5</c:v>
                </c:pt>
                <c:pt idx="55">
                  <c:v>5.6</c:v>
                </c:pt>
                <c:pt idx="56">
                  <c:v>5.7</c:v>
                </c:pt>
                <c:pt idx="57">
                  <c:v>5.8</c:v>
                </c:pt>
                <c:pt idx="58">
                  <c:v>5.9</c:v>
                </c:pt>
                <c:pt idx="59">
                  <c:v>6</c:v>
                </c:pt>
                <c:pt idx="60">
                  <c:v>6.1</c:v>
                </c:pt>
                <c:pt idx="61">
                  <c:v>6.2</c:v>
                </c:pt>
                <c:pt idx="62">
                  <c:v>6.3</c:v>
                </c:pt>
                <c:pt idx="63">
                  <c:v>6.4</c:v>
                </c:pt>
                <c:pt idx="64">
                  <c:v>6.5</c:v>
                </c:pt>
                <c:pt idx="65">
                  <c:v>6.6</c:v>
                </c:pt>
                <c:pt idx="66">
                  <c:v>6.7</c:v>
                </c:pt>
                <c:pt idx="67">
                  <c:v>6.8</c:v>
                </c:pt>
                <c:pt idx="68">
                  <c:v>6.9</c:v>
                </c:pt>
                <c:pt idx="69">
                  <c:v>7</c:v>
                </c:pt>
                <c:pt idx="70">
                  <c:v>7.1</c:v>
                </c:pt>
                <c:pt idx="71">
                  <c:v>7.2</c:v>
                </c:pt>
                <c:pt idx="72">
                  <c:v>7.3</c:v>
                </c:pt>
                <c:pt idx="73">
                  <c:v>7.4</c:v>
                </c:pt>
                <c:pt idx="74">
                  <c:v>7.5</c:v>
                </c:pt>
                <c:pt idx="75">
                  <c:v>7.6</c:v>
                </c:pt>
                <c:pt idx="76">
                  <c:v>7.7</c:v>
                </c:pt>
                <c:pt idx="77">
                  <c:v>7.8</c:v>
                </c:pt>
                <c:pt idx="78">
                  <c:v>7.9</c:v>
                </c:pt>
                <c:pt idx="79">
                  <c:v>8</c:v>
                </c:pt>
                <c:pt idx="80">
                  <c:v>8.1</c:v>
                </c:pt>
                <c:pt idx="81">
                  <c:v>8.1999999999999993</c:v>
                </c:pt>
                <c:pt idx="82">
                  <c:v>8.3000000000000007</c:v>
                </c:pt>
                <c:pt idx="83">
                  <c:v>8.4</c:v>
                </c:pt>
                <c:pt idx="84">
                  <c:v>8.5</c:v>
                </c:pt>
                <c:pt idx="85">
                  <c:v>8.6</c:v>
                </c:pt>
                <c:pt idx="86">
                  <c:v>8.6999999999999993</c:v>
                </c:pt>
                <c:pt idx="87">
                  <c:v>8.8000000000000007</c:v>
                </c:pt>
                <c:pt idx="88">
                  <c:v>8.9</c:v>
                </c:pt>
                <c:pt idx="89">
                  <c:v>9</c:v>
                </c:pt>
                <c:pt idx="90">
                  <c:v>9.1</c:v>
                </c:pt>
                <c:pt idx="91">
                  <c:v>9.1999999999999993</c:v>
                </c:pt>
                <c:pt idx="92">
                  <c:v>9.3000000000000007</c:v>
                </c:pt>
                <c:pt idx="93">
                  <c:v>9.4</c:v>
                </c:pt>
                <c:pt idx="94">
                  <c:v>9.5</c:v>
                </c:pt>
                <c:pt idx="95">
                  <c:v>9.6</c:v>
                </c:pt>
                <c:pt idx="96">
                  <c:v>9.6999999999999993</c:v>
                </c:pt>
                <c:pt idx="97">
                  <c:v>9.8000000000000007</c:v>
                </c:pt>
                <c:pt idx="98">
                  <c:v>9.9</c:v>
                </c:pt>
                <c:pt idx="99">
                  <c:v>10</c:v>
                </c:pt>
                <c:pt idx="100">
                  <c:v>10.1</c:v>
                </c:pt>
                <c:pt idx="101">
                  <c:v>10.199999999999999</c:v>
                </c:pt>
                <c:pt idx="102">
                  <c:v>10.3</c:v>
                </c:pt>
                <c:pt idx="103">
                  <c:v>10.4</c:v>
                </c:pt>
                <c:pt idx="104">
                  <c:v>10.5</c:v>
                </c:pt>
                <c:pt idx="105">
                  <c:v>10.6</c:v>
                </c:pt>
                <c:pt idx="106">
                  <c:v>10.7</c:v>
                </c:pt>
                <c:pt idx="107">
                  <c:v>10.8</c:v>
                </c:pt>
                <c:pt idx="108">
                  <c:v>10.9</c:v>
                </c:pt>
                <c:pt idx="109">
                  <c:v>11</c:v>
                </c:pt>
                <c:pt idx="110">
                  <c:v>11.1</c:v>
                </c:pt>
                <c:pt idx="111">
                  <c:v>11.2</c:v>
                </c:pt>
                <c:pt idx="112">
                  <c:v>11.3</c:v>
                </c:pt>
                <c:pt idx="113">
                  <c:v>11.4</c:v>
                </c:pt>
                <c:pt idx="114">
                  <c:v>11.5</c:v>
                </c:pt>
                <c:pt idx="115">
                  <c:v>11.6</c:v>
                </c:pt>
                <c:pt idx="116">
                  <c:v>11.7</c:v>
                </c:pt>
                <c:pt idx="117">
                  <c:v>11.8</c:v>
                </c:pt>
                <c:pt idx="118">
                  <c:v>11.9</c:v>
                </c:pt>
                <c:pt idx="119">
                  <c:v>12</c:v>
                </c:pt>
                <c:pt idx="120">
                  <c:v>12.1</c:v>
                </c:pt>
                <c:pt idx="121">
                  <c:v>12.2</c:v>
                </c:pt>
                <c:pt idx="122">
                  <c:v>12.3</c:v>
                </c:pt>
                <c:pt idx="123">
                  <c:v>12.4</c:v>
                </c:pt>
                <c:pt idx="124">
                  <c:v>12.5</c:v>
                </c:pt>
                <c:pt idx="125">
                  <c:v>12.6</c:v>
                </c:pt>
                <c:pt idx="126">
                  <c:v>12.7</c:v>
                </c:pt>
                <c:pt idx="127">
                  <c:v>12.8</c:v>
                </c:pt>
                <c:pt idx="128">
                  <c:v>12.9</c:v>
                </c:pt>
                <c:pt idx="129">
                  <c:v>13</c:v>
                </c:pt>
                <c:pt idx="130">
                  <c:v>13.1</c:v>
                </c:pt>
                <c:pt idx="131">
                  <c:v>13.2</c:v>
                </c:pt>
                <c:pt idx="132">
                  <c:v>13.3</c:v>
                </c:pt>
                <c:pt idx="133">
                  <c:v>13.4</c:v>
                </c:pt>
                <c:pt idx="134">
                  <c:v>13.5</c:v>
                </c:pt>
                <c:pt idx="135">
                  <c:v>13.6</c:v>
                </c:pt>
                <c:pt idx="136">
                  <c:v>13.7</c:v>
                </c:pt>
                <c:pt idx="137">
                  <c:v>13.8</c:v>
                </c:pt>
                <c:pt idx="138">
                  <c:v>13.9</c:v>
                </c:pt>
                <c:pt idx="139">
                  <c:v>14</c:v>
                </c:pt>
                <c:pt idx="140">
                  <c:v>14.1</c:v>
                </c:pt>
                <c:pt idx="141">
                  <c:v>14.2</c:v>
                </c:pt>
                <c:pt idx="142">
                  <c:v>14.3</c:v>
                </c:pt>
                <c:pt idx="143">
                  <c:v>14.4</c:v>
                </c:pt>
                <c:pt idx="144">
                  <c:v>14.5</c:v>
                </c:pt>
                <c:pt idx="145">
                  <c:v>14.6</c:v>
                </c:pt>
                <c:pt idx="146">
                  <c:v>14.7</c:v>
                </c:pt>
                <c:pt idx="147">
                  <c:v>14.8</c:v>
                </c:pt>
                <c:pt idx="148">
                  <c:v>14.9</c:v>
                </c:pt>
                <c:pt idx="149">
                  <c:v>15</c:v>
                </c:pt>
                <c:pt idx="150">
                  <c:v>15.1</c:v>
                </c:pt>
                <c:pt idx="151">
                  <c:v>15.2</c:v>
                </c:pt>
                <c:pt idx="152">
                  <c:v>15.3</c:v>
                </c:pt>
                <c:pt idx="153">
                  <c:v>15.4</c:v>
                </c:pt>
                <c:pt idx="154">
                  <c:v>15.5</c:v>
                </c:pt>
                <c:pt idx="155">
                  <c:v>15.6</c:v>
                </c:pt>
                <c:pt idx="156">
                  <c:v>15.7</c:v>
                </c:pt>
                <c:pt idx="157">
                  <c:v>15.8</c:v>
                </c:pt>
                <c:pt idx="158">
                  <c:v>15.9</c:v>
                </c:pt>
                <c:pt idx="159">
                  <c:v>16</c:v>
                </c:pt>
                <c:pt idx="160">
                  <c:v>16.100000000000001</c:v>
                </c:pt>
                <c:pt idx="161">
                  <c:v>16.2</c:v>
                </c:pt>
                <c:pt idx="162">
                  <c:v>16.3</c:v>
                </c:pt>
                <c:pt idx="163">
                  <c:v>16.399999999999999</c:v>
                </c:pt>
                <c:pt idx="164">
                  <c:v>16.5</c:v>
                </c:pt>
                <c:pt idx="165">
                  <c:v>16.600000000000001</c:v>
                </c:pt>
                <c:pt idx="166">
                  <c:v>16.7</c:v>
                </c:pt>
                <c:pt idx="167">
                  <c:v>16.8</c:v>
                </c:pt>
                <c:pt idx="168">
                  <c:v>16.899999999999999</c:v>
                </c:pt>
                <c:pt idx="169">
                  <c:v>17</c:v>
                </c:pt>
                <c:pt idx="170">
                  <c:v>17.100000000000001</c:v>
                </c:pt>
                <c:pt idx="171">
                  <c:v>17.2</c:v>
                </c:pt>
                <c:pt idx="172">
                  <c:v>17.3</c:v>
                </c:pt>
                <c:pt idx="173">
                  <c:v>17.399999999999999</c:v>
                </c:pt>
                <c:pt idx="174">
                  <c:v>17.5</c:v>
                </c:pt>
                <c:pt idx="175">
                  <c:v>17.600000000000001</c:v>
                </c:pt>
                <c:pt idx="176">
                  <c:v>17.7</c:v>
                </c:pt>
                <c:pt idx="177">
                  <c:v>17.8</c:v>
                </c:pt>
                <c:pt idx="178">
                  <c:v>17.899999999999999</c:v>
                </c:pt>
                <c:pt idx="179">
                  <c:v>18</c:v>
                </c:pt>
                <c:pt idx="180">
                  <c:v>18.100000000000001</c:v>
                </c:pt>
                <c:pt idx="181">
                  <c:v>18.2</c:v>
                </c:pt>
                <c:pt idx="182">
                  <c:v>18.3</c:v>
                </c:pt>
                <c:pt idx="183">
                  <c:v>18.399999999999999</c:v>
                </c:pt>
                <c:pt idx="184">
                  <c:v>18.5</c:v>
                </c:pt>
                <c:pt idx="185">
                  <c:v>18.600000000000001</c:v>
                </c:pt>
                <c:pt idx="186">
                  <c:v>18.7</c:v>
                </c:pt>
                <c:pt idx="187">
                  <c:v>18.8</c:v>
                </c:pt>
                <c:pt idx="188">
                  <c:v>18.899999999999999</c:v>
                </c:pt>
                <c:pt idx="189">
                  <c:v>19</c:v>
                </c:pt>
                <c:pt idx="190">
                  <c:v>19.100000000000001</c:v>
                </c:pt>
                <c:pt idx="191">
                  <c:v>19.2</c:v>
                </c:pt>
                <c:pt idx="192">
                  <c:v>19.3</c:v>
                </c:pt>
                <c:pt idx="193">
                  <c:v>19.399999999999999</c:v>
                </c:pt>
                <c:pt idx="194">
                  <c:v>19.5</c:v>
                </c:pt>
                <c:pt idx="195">
                  <c:v>19.600000000000001</c:v>
                </c:pt>
                <c:pt idx="196">
                  <c:v>19.7</c:v>
                </c:pt>
                <c:pt idx="197">
                  <c:v>19.8</c:v>
                </c:pt>
                <c:pt idx="198">
                  <c:v>19.899999999999999</c:v>
                </c:pt>
                <c:pt idx="199">
                  <c:v>20</c:v>
                </c:pt>
              </c:numCache>
            </c:numRef>
          </c:xVal>
          <c:yVal>
            <c:numRef>
              <c:f>'Piston Velocity'!$H$21:$H$220</c:f>
              <c:numCache>
                <c:formatCode>General</c:formatCode>
                <c:ptCount val="200"/>
                <c:pt idx="0">
                  <c:v>3.1817371921838898E-5</c:v>
                </c:pt>
                <c:pt idx="1">
                  <c:v>1.2726948768735559E-4</c:v>
                </c:pt>
                <c:pt idx="2">
                  <c:v>2.8635634729655001E-4</c:v>
                </c:pt>
                <c:pt idx="3">
                  <c:v>5.0907795074942236E-4</c:v>
                </c:pt>
                <c:pt idx="4">
                  <c:v>7.9543429804597237E-4</c:v>
                </c:pt>
                <c:pt idx="5">
                  <c:v>1.1454253891862E-3</c:v>
                </c:pt>
                <c:pt idx="6">
                  <c:v>1.5590512241701058E-3</c:v>
                </c:pt>
                <c:pt idx="7">
                  <c:v>2.0363118029976895E-3</c:v>
                </c:pt>
                <c:pt idx="8">
                  <c:v>2.5772071256689507E-3</c:v>
                </c:pt>
                <c:pt idx="9">
                  <c:v>3.1817371921838895E-3</c:v>
                </c:pt>
                <c:pt idx="10">
                  <c:v>3.8499020025425067E-3</c:v>
                </c:pt>
                <c:pt idx="11">
                  <c:v>4.5817015567448001E-3</c:v>
                </c:pt>
                <c:pt idx="12">
                  <c:v>5.3771358547907745E-3</c:v>
                </c:pt>
                <c:pt idx="13">
                  <c:v>6.236204896680423E-3</c:v>
                </c:pt>
                <c:pt idx="14">
                  <c:v>7.1589086824137508E-3</c:v>
                </c:pt>
                <c:pt idx="15">
                  <c:v>8.1452472119907578E-3</c:v>
                </c:pt>
                <c:pt idx="16">
                  <c:v>9.195220485411439E-3</c:v>
                </c:pt>
                <c:pt idx="17">
                  <c:v>1.0308828502675803E-2</c:v>
                </c:pt>
                <c:pt idx="18">
                  <c:v>1.1486071263783841E-2</c:v>
                </c:pt>
                <c:pt idx="19">
                  <c:v>1.2726948768735558E-2</c:v>
                </c:pt>
                <c:pt idx="20">
                  <c:v>1.4031461017530953E-2</c:v>
                </c:pt>
                <c:pt idx="21">
                  <c:v>1.5399608010170027E-2</c:v>
                </c:pt>
                <c:pt idx="22">
                  <c:v>1.6831389746652773E-2</c:v>
                </c:pt>
                <c:pt idx="23">
                  <c:v>1.83268062269792E-2</c:v>
                </c:pt>
                <c:pt idx="24">
                  <c:v>1.9885857451149312E-2</c:v>
                </c:pt>
                <c:pt idx="25">
                  <c:v>2.1508543419163098E-2</c:v>
                </c:pt>
                <c:pt idx="26">
                  <c:v>2.3194864131020555E-2</c:v>
                </c:pt>
                <c:pt idx="27">
                  <c:v>2.4944819586721692E-2</c:v>
                </c:pt>
                <c:pt idx="28">
                  <c:v>2.6758409786266514E-2</c:v>
                </c:pt>
                <c:pt idx="29">
                  <c:v>2.8635634729655003E-2</c:v>
                </c:pt>
                <c:pt idx="30">
                  <c:v>3.057649441688718E-2</c:v>
                </c:pt>
                <c:pt idx="31">
                  <c:v>3.2580988847963031E-2</c:v>
                </c:pt>
                <c:pt idx="32">
                  <c:v>3.464911802288255E-2</c:v>
                </c:pt>
                <c:pt idx="33">
                  <c:v>3.6780881941645756E-2</c:v>
                </c:pt>
                <c:pt idx="34">
                  <c:v>3.8976280604252643E-2</c:v>
                </c:pt>
                <c:pt idx="35">
                  <c:v>4.1235314010703211E-2</c:v>
                </c:pt>
                <c:pt idx="36">
                  <c:v>4.3557982160997454E-2</c:v>
                </c:pt>
                <c:pt idx="37">
                  <c:v>4.5944285055135363E-2</c:v>
                </c:pt>
                <c:pt idx="38">
                  <c:v>4.8394222693116953E-2</c:v>
                </c:pt>
                <c:pt idx="39">
                  <c:v>5.0907795074942232E-2</c:v>
                </c:pt>
                <c:pt idx="40">
                  <c:v>5.3485002200611184E-2</c:v>
                </c:pt>
                <c:pt idx="41">
                  <c:v>5.6125844070123811E-2</c:v>
                </c:pt>
                <c:pt idx="42">
                  <c:v>5.8830320683480111E-2</c:v>
                </c:pt>
                <c:pt idx="43">
                  <c:v>6.1598432040680107E-2</c:v>
                </c:pt>
                <c:pt idx="44">
                  <c:v>6.4430178141723762E-2</c:v>
                </c:pt>
                <c:pt idx="45">
                  <c:v>6.7325558986611092E-2</c:v>
                </c:pt>
                <c:pt idx="46">
                  <c:v>7.0284574575342137E-2</c:v>
                </c:pt>
                <c:pt idx="47">
                  <c:v>7.3307224907916801E-2</c:v>
                </c:pt>
                <c:pt idx="48">
                  <c:v>7.6393509984335195E-2</c:v>
                </c:pt>
                <c:pt idx="49">
                  <c:v>7.9543429804597249E-2</c:v>
                </c:pt>
                <c:pt idx="50">
                  <c:v>8.2756984368702963E-2</c:v>
                </c:pt>
                <c:pt idx="51">
                  <c:v>8.6034173676652392E-2</c:v>
                </c:pt>
                <c:pt idx="52">
                  <c:v>8.9374997728445441E-2</c:v>
                </c:pt>
                <c:pt idx="53">
                  <c:v>9.2779456524082218E-2</c:v>
                </c:pt>
                <c:pt idx="54">
                  <c:v>9.6247550063562656E-2</c:v>
                </c:pt>
                <c:pt idx="55">
                  <c:v>9.9779278346886768E-2</c:v>
                </c:pt>
                <c:pt idx="56">
                  <c:v>0.10337464137405457</c:v>
                </c:pt>
                <c:pt idx="57">
                  <c:v>0.10703363914506606</c:v>
                </c:pt>
                <c:pt idx="58">
                  <c:v>0.1107562716599212</c:v>
                </c:pt>
                <c:pt idx="59">
                  <c:v>0.11454253891862001</c:v>
                </c:pt>
                <c:pt idx="60">
                  <c:v>0.11839244092116251</c:v>
                </c:pt>
                <c:pt idx="61">
                  <c:v>0.12230597766754872</c:v>
                </c:pt>
                <c:pt idx="62">
                  <c:v>0.12628314915777858</c:v>
                </c:pt>
                <c:pt idx="63">
                  <c:v>0.13032395539185213</c:v>
                </c:pt>
                <c:pt idx="64">
                  <c:v>0.13442839636976933</c:v>
                </c:pt>
                <c:pt idx="65">
                  <c:v>0.1385964720915302</c:v>
                </c:pt>
                <c:pt idx="66">
                  <c:v>0.14282818255713481</c:v>
                </c:pt>
                <c:pt idx="67">
                  <c:v>0.14712352776658302</c:v>
                </c:pt>
                <c:pt idx="68">
                  <c:v>0.15148250771987501</c:v>
                </c:pt>
                <c:pt idx="69">
                  <c:v>0.15590512241701057</c:v>
                </c:pt>
                <c:pt idx="70">
                  <c:v>0.16039137185798985</c:v>
                </c:pt>
                <c:pt idx="71">
                  <c:v>0.16494125604281284</c:v>
                </c:pt>
                <c:pt idx="72">
                  <c:v>0.16955477497147947</c:v>
                </c:pt>
                <c:pt idx="73">
                  <c:v>0.17423192864398981</c:v>
                </c:pt>
                <c:pt idx="74">
                  <c:v>0.17897271706034379</c:v>
                </c:pt>
                <c:pt idx="75">
                  <c:v>0.18377714022054145</c:v>
                </c:pt>
                <c:pt idx="76">
                  <c:v>0.18864519812458283</c:v>
                </c:pt>
                <c:pt idx="77">
                  <c:v>0.19357689077246781</c:v>
                </c:pt>
                <c:pt idx="78">
                  <c:v>0.19857221816419657</c:v>
                </c:pt>
                <c:pt idx="79">
                  <c:v>0.20363118029976893</c:v>
                </c:pt>
                <c:pt idx="80">
                  <c:v>0.20875377717918497</c:v>
                </c:pt>
                <c:pt idx="81">
                  <c:v>0.21394000880244474</c:v>
                </c:pt>
                <c:pt idx="82">
                  <c:v>0.21918987516954819</c:v>
                </c:pt>
                <c:pt idx="83">
                  <c:v>0.22450337628049524</c:v>
                </c:pt>
                <c:pt idx="84">
                  <c:v>0.22988051213528604</c:v>
                </c:pt>
                <c:pt idx="85">
                  <c:v>0.23532128273392044</c:v>
                </c:pt>
                <c:pt idx="86">
                  <c:v>0.24082568807639856</c:v>
                </c:pt>
                <c:pt idx="87">
                  <c:v>0.24639372816272043</c:v>
                </c:pt>
                <c:pt idx="88">
                  <c:v>0.25202540299288589</c:v>
                </c:pt>
                <c:pt idx="89">
                  <c:v>0.25772071256689505</c:v>
                </c:pt>
                <c:pt idx="90">
                  <c:v>0.26347965688474784</c:v>
                </c:pt>
                <c:pt idx="91">
                  <c:v>0.26930223594644437</c:v>
                </c:pt>
                <c:pt idx="92">
                  <c:v>0.27518844975198464</c:v>
                </c:pt>
                <c:pt idx="93">
                  <c:v>0.28113829830136855</c:v>
                </c:pt>
                <c:pt idx="94">
                  <c:v>0.28715178159459603</c:v>
                </c:pt>
                <c:pt idx="95">
                  <c:v>0.29322889963166721</c:v>
                </c:pt>
                <c:pt idx="96">
                  <c:v>0.29936965241258212</c:v>
                </c:pt>
                <c:pt idx="97">
                  <c:v>0.30557403993734078</c:v>
                </c:pt>
                <c:pt idx="98">
                  <c:v>0.31184206220594302</c:v>
                </c:pt>
                <c:pt idx="99">
                  <c:v>0.318173719218389</c:v>
                </c:pt>
                <c:pt idx="100">
                  <c:v>0.32456901097467855</c:v>
                </c:pt>
                <c:pt idx="101">
                  <c:v>0.33102793747481185</c:v>
                </c:pt>
                <c:pt idx="102">
                  <c:v>0.33755049871878889</c:v>
                </c:pt>
                <c:pt idx="103">
                  <c:v>0.34413669470660957</c:v>
                </c:pt>
                <c:pt idx="104">
                  <c:v>0.35078652543827382</c:v>
                </c:pt>
                <c:pt idx="105">
                  <c:v>0.35749999091378176</c:v>
                </c:pt>
                <c:pt idx="106">
                  <c:v>0.36427709113313339</c:v>
                </c:pt>
                <c:pt idx="107">
                  <c:v>0.37111782609632887</c:v>
                </c:pt>
                <c:pt idx="108">
                  <c:v>0.37802219580336788</c:v>
                </c:pt>
                <c:pt idx="109">
                  <c:v>0.38499020025425063</c:v>
                </c:pt>
                <c:pt idx="110">
                  <c:v>0.39202183944897695</c:v>
                </c:pt>
                <c:pt idx="111">
                  <c:v>0.39911711338754707</c:v>
                </c:pt>
                <c:pt idx="112">
                  <c:v>0.40627602206996088</c:v>
                </c:pt>
                <c:pt idx="113">
                  <c:v>0.41349856549621827</c:v>
                </c:pt>
                <c:pt idx="114">
                  <c:v>0.42078474366631935</c:v>
                </c:pt>
                <c:pt idx="115">
                  <c:v>0.42813455658026423</c:v>
                </c:pt>
                <c:pt idx="116">
                  <c:v>0.43554800423805262</c:v>
                </c:pt>
                <c:pt idx="117">
                  <c:v>0.44302508663968482</c:v>
                </c:pt>
                <c:pt idx="118">
                  <c:v>0.45056580378516059</c:v>
                </c:pt>
                <c:pt idx="119">
                  <c:v>0.45817015567448005</c:v>
                </c:pt>
                <c:pt idx="120">
                  <c:v>0.46583814230764325</c:v>
                </c:pt>
                <c:pt idx="121">
                  <c:v>0.47356976368465004</c:v>
                </c:pt>
                <c:pt idx="122">
                  <c:v>0.48136501980550073</c:v>
                </c:pt>
                <c:pt idx="123">
                  <c:v>0.48922391067019488</c:v>
                </c:pt>
                <c:pt idx="124">
                  <c:v>0.49714643627873273</c:v>
                </c:pt>
                <c:pt idx="125">
                  <c:v>0.50513259663111432</c:v>
                </c:pt>
                <c:pt idx="126">
                  <c:v>0.51318239172733948</c:v>
                </c:pt>
                <c:pt idx="127">
                  <c:v>0.5212958215674085</c:v>
                </c:pt>
                <c:pt idx="128">
                  <c:v>0.52947288615132104</c:v>
                </c:pt>
                <c:pt idx="129">
                  <c:v>0.53771358547907733</c:v>
                </c:pt>
                <c:pt idx="130">
                  <c:v>0.54601791955067724</c:v>
                </c:pt>
                <c:pt idx="131">
                  <c:v>0.55438588836612079</c:v>
                </c:pt>
                <c:pt idx="132">
                  <c:v>0.56281749192540831</c:v>
                </c:pt>
                <c:pt idx="133">
                  <c:v>0.57131273022853923</c:v>
                </c:pt>
                <c:pt idx="134">
                  <c:v>0.5798716032755139</c:v>
                </c:pt>
                <c:pt idx="135">
                  <c:v>0.58849411106633209</c:v>
                </c:pt>
                <c:pt idx="136">
                  <c:v>0.59718025360099414</c:v>
                </c:pt>
                <c:pt idx="137">
                  <c:v>0.60593003087950004</c:v>
                </c:pt>
                <c:pt idx="138">
                  <c:v>0.61474344290184935</c:v>
                </c:pt>
                <c:pt idx="139">
                  <c:v>0.62362048966804229</c:v>
                </c:pt>
                <c:pt idx="140">
                  <c:v>0.63256117117807908</c:v>
                </c:pt>
                <c:pt idx="141">
                  <c:v>0.6415654874319594</c:v>
                </c:pt>
                <c:pt idx="142">
                  <c:v>0.65063343842968369</c:v>
                </c:pt>
                <c:pt idx="143">
                  <c:v>0.65976502417125138</c:v>
                </c:pt>
                <c:pt idx="144">
                  <c:v>0.66896024465666271</c:v>
                </c:pt>
                <c:pt idx="145">
                  <c:v>0.67821909988591789</c:v>
                </c:pt>
                <c:pt idx="146">
                  <c:v>0.68754158985901659</c:v>
                </c:pt>
                <c:pt idx="147">
                  <c:v>0.69692771457595926</c:v>
                </c:pt>
                <c:pt idx="148">
                  <c:v>0.70637747403674533</c:v>
                </c:pt>
                <c:pt idx="149">
                  <c:v>0.71589086824137516</c:v>
                </c:pt>
                <c:pt idx="150">
                  <c:v>0.7254678971898485</c:v>
                </c:pt>
                <c:pt idx="151">
                  <c:v>0.73510856088216581</c:v>
                </c:pt>
                <c:pt idx="152">
                  <c:v>0.74481285931832686</c:v>
                </c:pt>
                <c:pt idx="153">
                  <c:v>0.75458079249833132</c:v>
                </c:pt>
                <c:pt idx="154">
                  <c:v>0.76441236042217953</c:v>
                </c:pt>
                <c:pt idx="155">
                  <c:v>0.77430756308987125</c:v>
                </c:pt>
                <c:pt idx="156">
                  <c:v>0.78426640050140695</c:v>
                </c:pt>
                <c:pt idx="157">
                  <c:v>0.79428887265678627</c:v>
                </c:pt>
                <c:pt idx="158">
                  <c:v>0.80437497955600923</c:v>
                </c:pt>
                <c:pt idx="159">
                  <c:v>0.81452472119907571</c:v>
                </c:pt>
                <c:pt idx="160">
                  <c:v>0.82473809758598604</c:v>
                </c:pt>
                <c:pt idx="161">
                  <c:v>0.8350151087167399</c:v>
                </c:pt>
                <c:pt idx="162">
                  <c:v>0.84535575459133772</c:v>
                </c:pt>
                <c:pt idx="163">
                  <c:v>0.85576003520977895</c:v>
                </c:pt>
                <c:pt idx="164">
                  <c:v>0.86622795057206392</c:v>
                </c:pt>
                <c:pt idx="165">
                  <c:v>0.87675950067819275</c:v>
                </c:pt>
                <c:pt idx="166">
                  <c:v>0.88735468552816499</c:v>
                </c:pt>
                <c:pt idx="167">
                  <c:v>0.89801350512198097</c:v>
                </c:pt>
                <c:pt idx="168">
                  <c:v>0.90873595945964059</c:v>
                </c:pt>
                <c:pt idx="169">
                  <c:v>0.91952204854114417</c:v>
                </c:pt>
                <c:pt idx="170">
                  <c:v>0.93037177236649127</c:v>
                </c:pt>
                <c:pt idx="171">
                  <c:v>0.94128513093568178</c:v>
                </c:pt>
                <c:pt idx="172">
                  <c:v>0.95226212424871637</c:v>
                </c:pt>
                <c:pt idx="173">
                  <c:v>0.96330275230559426</c:v>
                </c:pt>
                <c:pt idx="174">
                  <c:v>0.97440701510631622</c:v>
                </c:pt>
                <c:pt idx="175">
                  <c:v>0.98557491265088171</c:v>
                </c:pt>
                <c:pt idx="176">
                  <c:v>0.99680644493929049</c:v>
                </c:pt>
                <c:pt idx="177">
                  <c:v>1.0081016119715436</c:v>
                </c:pt>
                <c:pt idx="178">
                  <c:v>1.01946041374764</c:v>
                </c:pt>
                <c:pt idx="179">
                  <c:v>1.0308828502675802</c:v>
                </c:pt>
                <c:pt idx="180">
                  <c:v>1.0423689215313643</c:v>
                </c:pt>
                <c:pt idx="181">
                  <c:v>1.0539186275389913</c:v>
                </c:pt>
                <c:pt idx="182">
                  <c:v>1.0655319682904629</c:v>
                </c:pt>
                <c:pt idx="183">
                  <c:v>1.0772089437857775</c:v>
                </c:pt>
                <c:pt idx="184">
                  <c:v>1.0889495540249363</c:v>
                </c:pt>
                <c:pt idx="185">
                  <c:v>1.1007537990079386</c:v>
                </c:pt>
                <c:pt idx="186">
                  <c:v>1.1126216787347842</c:v>
                </c:pt>
                <c:pt idx="187">
                  <c:v>1.1245531932054742</c:v>
                </c:pt>
                <c:pt idx="188">
                  <c:v>1.1365483424200069</c:v>
                </c:pt>
                <c:pt idx="189">
                  <c:v>1.1486071263783841</c:v>
                </c:pt>
                <c:pt idx="190">
                  <c:v>1.160729545080605</c:v>
                </c:pt>
                <c:pt idx="191">
                  <c:v>1.1729155985266688</c:v>
                </c:pt>
                <c:pt idx="192">
                  <c:v>1.1851652867165769</c:v>
                </c:pt>
                <c:pt idx="193">
                  <c:v>1.1974786096503285</c:v>
                </c:pt>
                <c:pt idx="194">
                  <c:v>1.2098555673279241</c:v>
                </c:pt>
                <c:pt idx="195">
                  <c:v>1.2222961597493631</c:v>
                </c:pt>
                <c:pt idx="196">
                  <c:v>1.2348003869146458</c:v>
                </c:pt>
                <c:pt idx="197">
                  <c:v>1.2473682488237721</c:v>
                </c:pt>
                <c:pt idx="198">
                  <c:v>1.2599997454767418</c:v>
                </c:pt>
                <c:pt idx="199">
                  <c:v>1.272694876873556</c:v>
                </c:pt>
              </c:numCache>
            </c:numRef>
          </c:yVal>
          <c:smooth val="0"/>
          <c:extLst>
            <c:ext xmlns:c16="http://schemas.microsoft.com/office/drawing/2014/chart" uri="{C3380CC4-5D6E-409C-BE32-E72D297353CC}">
              <c16:uniqueId val="{00000003-CED8-8548-8BDB-E89EDCAA6827}"/>
            </c:ext>
          </c:extLst>
        </c:ser>
        <c:ser>
          <c:idx val="4"/>
          <c:order val="4"/>
          <c:tx>
            <c:v>Ho et al., 2006</c:v>
          </c:tx>
          <c:spPr>
            <a:ln w="25400" cap="rnd">
              <a:noFill/>
              <a:round/>
            </a:ln>
            <a:effectLst/>
          </c:spPr>
          <c:marker>
            <c:symbol val="circle"/>
            <c:size val="5"/>
            <c:spPr>
              <a:solidFill>
                <a:schemeClr val="accent5"/>
              </a:solidFill>
              <a:ln w="9525">
                <a:solidFill>
                  <a:schemeClr val="accent5"/>
                </a:solidFill>
              </a:ln>
              <a:effectLst/>
            </c:spPr>
          </c:marker>
          <c:xVal>
            <c:numRef>
              <c:f>'Piston Velocity'!$A$21:$A$220</c:f>
              <c:numCache>
                <c:formatCode>General</c:formatCode>
                <c:ptCount val="200"/>
                <c:pt idx="0">
                  <c:v>0.1</c:v>
                </c:pt>
                <c:pt idx="1">
                  <c:v>0.2</c:v>
                </c:pt>
                <c:pt idx="2">
                  <c:v>0.3</c:v>
                </c:pt>
                <c:pt idx="3">
                  <c:v>0.4</c:v>
                </c:pt>
                <c:pt idx="4">
                  <c:v>0.5</c:v>
                </c:pt>
                <c:pt idx="5">
                  <c:v>0.6</c:v>
                </c:pt>
                <c:pt idx="6">
                  <c:v>0.7</c:v>
                </c:pt>
                <c:pt idx="7">
                  <c:v>0.8</c:v>
                </c:pt>
                <c:pt idx="8">
                  <c:v>0.9</c:v>
                </c:pt>
                <c:pt idx="9">
                  <c:v>1</c:v>
                </c:pt>
                <c:pt idx="10">
                  <c:v>1.1000000000000001</c:v>
                </c:pt>
                <c:pt idx="11">
                  <c:v>1.2</c:v>
                </c:pt>
                <c:pt idx="12">
                  <c:v>1.3</c:v>
                </c:pt>
                <c:pt idx="13">
                  <c:v>1.4</c:v>
                </c:pt>
                <c:pt idx="14">
                  <c:v>1.5</c:v>
                </c:pt>
                <c:pt idx="15">
                  <c:v>1.6</c:v>
                </c:pt>
                <c:pt idx="16">
                  <c:v>1.7</c:v>
                </c:pt>
                <c:pt idx="17">
                  <c:v>1.8</c:v>
                </c:pt>
                <c:pt idx="18">
                  <c:v>1.9</c:v>
                </c:pt>
                <c:pt idx="19">
                  <c:v>2</c:v>
                </c:pt>
                <c:pt idx="20">
                  <c:v>2.1</c:v>
                </c:pt>
                <c:pt idx="21">
                  <c:v>2.2000000000000002</c:v>
                </c:pt>
                <c:pt idx="22">
                  <c:v>2.2999999999999998</c:v>
                </c:pt>
                <c:pt idx="23">
                  <c:v>2.4</c:v>
                </c:pt>
                <c:pt idx="24">
                  <c:v>2.5</c:v>
                </c:pt>
                <c:pt idx="25">
                  <c:v>2.6</c:v>
                </c:pt>
                <c:pt idx="26">
                  <c:v>2.7</c:v>
                </c:pt>
                <c:pt idx="27">
                  <c:v>2.8</c:v>
                </c:pt>
                <c:pt idx="28">
                  <c:v>2.9</c:v>
                </c:pt>
                <c:pt idx="29">
                  <c:v>3</c:v>
                </c:pt>
                <c:pt idx="30">
                  <c:v>3.1</c:v>
                </c:pt>
                <c:pt idx="31">
                  <c:v>3.2</c:v>
                </c:pt>
                <c:pt idx="32">
                  <c:v>3.3</c:v>
                </c:pt>
                <c:pt idx="33">
                  <c:v>3.4</c:v>
                </c:pt>
                <c:pt idx="34">
                  <c:v>3.5</c:v>
                </c:pt>
                <c:pt idx="35">
                  <c:v>3.6</c:v>
                </c:pt>
                <c:pt idx="36">
                  <c:v>3.7</c:v>
                </c:pt>
                <c:pt idx="37">
                  <c:v>3.8</c:v>
                </c:pt>
                <c:pt idx="38">
                  <c:v>3.9</c:v>
                </c:pt>
                <c:pt idx="39">
                  <c:v>4</c:v>
                </c:pt>
                <c:pt idx="40">
                  <c:v>4.0999999999999996</c:v>
                </c:pt>
                <c:pt idx="41">
                  <c:v>4.2</c:v>
                </c:pt>
                <c:pt idx="42">
                  <c:v>4.3</c:v>
                </c:pt>
                <c:pt idx="43">
                  <c:v>4.4000000000000004</c:v>
                </c:pt>
                <c:pt idx="44">
                  <c:v>4.5</c:v>
                </c:pt>
                <c:pt idx="45">
                  <c:v>4.5999999999999996</c:v>
                </c:pt>
                <c:pt idx="46">
                  <c:v>4.7</c:v>
                </c:pt>
                <c:pt idx="47">
                  <c:v>4.8</c:v>
                </c:pt>
                <c:pt idx="48">
                  <c:v>4.9000000000000004</c:v>
                </c:pt>
                <c:pt idx="49">
                  <c:v>5</c:v>
                </c:pt>
                <c:pt idx="50">
                  <c:v>5.0999999999999996</c:v>
                </c:pt>
                <c:pt idx="51">
                  <c:v>5.2</c:v>
                </c:pt>
                <c:pt idx="52">
                  <c:v>5.3</c:v>
                </c:pt>
                <c:pt idx="53">
                  <c:v>5.4</c:v>
                </c:pt>
                <c:pt idx="54">
                  <c:v>5.5</c:v>
                </c:pt>
                <c:pt idx="55">
                  <c:v>5.6</c:v>
                </c:pt>
                <c:pt idx="56">
                  <c:v>5.7</c:v>
                </c:pt>
                <c:pt idx="57">
                  <c:v>5.8</c:v>
                </c:pt>
                <c:pt idx="58">
                  <c:v>5.9</c:v>
                </c:pt>
                <c:pt idx="59">
                  <c:v>6</c:v>
                </c:pt>
                <c:pt idx="60">
                  <c:v>6.1</c:v>
                </c:pt>
                <c:pt idx="61">
                  <c:v>6.2</c:v>
                </c:pt>
                <c:pt idx="62">
                  <c:v>6.3</c:v>
                </c:pt>
                <c:pt idx="63">
                  <c:v>6.4</c:v>
                </c:pt>
                <c:pt idx="64">
                  <c:v>6.5</c:v>
                </c:pt>
                <c:pt idx="65">
                  <c:v>6.6</c:v>
                </c:pt>
                <c:pt idx="66">
                  <c:v>6.7</c:v>
                </c:pt>
                <c:pt idx="67">
                  <c:v>6.8</c:v>
                </c:pt>
                <c:pt idx="68">
                  <c:v>6.9</c:v>
                </c:pt>
                <c:pt idx="69">
                  <c:v>7</c:v>
                </c:pt>
                <c:pt idx="70">
                  <c:v>7.1</c:v>
                </c:pt>
                <c:pt idx="71">
                  <c:v>7.2</c:v>
                </c:pt>
                <c:pt idx="72">
                  <c:v>7.3</c:v>
                </c:pt>
                <c:pt idx="73">
                  <c:v>7.4</c:v>
                </c:pt>
                <c:pt idx="74">
                  <c:v>7.5</c:v>
                </c:pt>
                <c:pt idx="75">
                  <c:v>7.6</c:v>
                </c:pt>
                <c:pt idx="76">
                  <c:v>7.7</c:v>
                </c:pt>
                <c:pt idx="77">
                  <c:v>7.8</c:v>
                </c:pt>
                <c:pt idx="78">
                  <c:v>7.9</c:v>
                </c:pt>
                <c:pt idx="79">
                  <c:v>8</c:v>
                </c:pt>
                <c:pt idx="80">
                  <c:v>8.1</c:v>
                </c:pt>
                <c:pt idx="81">
                  <c:v>8.1999999999999993</c:v>
                </c:pt>
                <c:pt idx="82">
                  <c:v>8.3000000000000007</c:v>
                </c:pt>
                <c:pt idx="83">
                  <c:v>8.4</c:v>
                </c:pt>
                <c:pt idx="84">
                  <c:v>8.5</c:v>
                </c:pt>
                <c:pt idx="85">
                  <c:v>8.6</c:v>
                </c:pt>
                <c:pt idx="86">
                  <c:v>8.6999999999999993</c:v>
                </c:pt>
                <c:pt idx="87">
                  <c:v>8.8000000000000007</c:v>
                </c:pt>
                <c:pt idx="88">
                  <c:v>8.9</c:v>
                </c:pt>
                <c:pt idx="89">
                  <c:v>9</c:v>
                </c:pt>
                <c:pt idx="90">
                  <c:v>9.1</c:v>
                </c:pt>
                <c:pt idx="91">
                  <c:v>9.1999999999999993</c:v>
                </c:pt>
                <c:pt idx="92">
                  <c:v>9.3000000000000007</c:v>
                </c:pt>
                <c:pt idx="93">
                  <c:v>9.4</c:v>
                </c:pt>
                <c:pt idx="94">
                  <c:v>9.5</c:v>
                </c:pt>
                <c:pt idx="95">
                  <c:v>9.6</c:v>
                </c:pt>
                <c:pt idx="96">
                  <c:v>9.6999999999999993</c:v>
                </c:pt>
                <c:pt idx="97">
                  <c:v>9.8000000000000007</c:v>
                </c:pt>
                <c:pt idx="98">
                  <c:v>9.9</c:v>
                </c:pt>
                <c:pt idx="99">
                  <c:v>10</c:v>
                </c:pt>
                <c:pt idx="100">
                  <c:v>10.1</c:v>
                </c:pt>
                <c:pt idx="101">
                  <c:v>10.199999999999999</c:v>
                </c:pt>
                <c:pt idx="102">
                  <c:v>10.3</c:v>
                </c:pt>
                <c:pt idx="103">
                  <c:v>10.4</c:v>
                </c:pt>
                <c:pt idx="104">
                  <c:v>10.5</c:v>
                </c:pt>
                <c:pt idx="105">
                  <c:v>10.6</c:v>
                </c:pt>
                <c:pt idx="106">
                  <c:v>10.7</c:v>
                </c:pt>
                <c:pt idx="107">
                  <c:v>10.8</c:v>
                </c:pt>
                <c:pt idx="108">
                  <c:v>10.9</c:v>
                </c:pt>
                <c:pt idx="109">
                  <c:v>11</c:v>
                </c:pt>
                <c:pt idx="110">
                  <c:v>11.1</c:v>
                </c:pt>
                <c:pt idx="111">
                  <c:v>11.2</c:v>
                </c:pt>
                <c:pt idx="112">
                  <c:v>11.3</c:v>
                </c:pt>
                <c:pt idx="113">
                  <c:v>11.4</c:v>
                </c:pt>
                <c:pt idx="114">
                  <c:v>11.5</c:v>
                </c:pt>
                <c:pt idx="115">
                  <c:v>11.6</c:v>
                </c:pt>
                <c:pt idx="116">
                  <c:v>11.7</c:v>
                </c:pt>
                <c:pt idx="117">
                  <c:v>11.8</c:v>
                </c:pt>
                <c:pt idx="118">
                  <c:v>11.9</c:v>
                </c:pt>
                <c:pt idx="119">
                  <c:v>12</c:v>
                </c:pt>
                <c:pt idx="120">
                  <c:v>12.1</c:v>
                </c:pt>
                <c:pt idx="121">
                  <c:v>12.2</c:v>
                </c:pt>
                <c:pt idx="122">
                  <c:v>12.3</c:v>
                </c:pt>
                <c:pt idx="123">
                  <c:v>12.4</c:v>
                </c:pt>
                <c:pt idx="124">
                  <c:v>12.5</c:v>
                </c:pt>
                <c:pt idx="125">
                  <c:v>12.6</c:v>
                </c:pt>
                <c:pt idx="126">
                  <c:v>12.7</c:v>
                </c:pt>
                <c:pt idx="127">
                  <c:v>12.8</c:v>
                </c:pt>
                <c:pt idx="128">
                  <c:v>12.9</c:v>
                </c:pt>
                <c:pt idx="129">
                  <c:v>13</c:v>
                </c:pt>
                <c:pt idx="130">
                  <c:v>13.1</c:v>
                </c:pt>
                <c:pt idx="131">
                  <c:v>13.2</c:v>
                </c:pt>
                <c:pt idx="132">
                  <c:v>13.3</c:v>
                </c:pt>
                <c:pt idx="133">
                  <c:v>13.4</c:v>
                </c:pt>
                <c:pt idx="134">
                  <c:v>13.5</c:v>
                </c:pt>
                <c:pt idx="135">
                  <c:v>13.6</c:v>
                </c:pt>
                <c:pt idx="136">
                  <c:v>13.7</c:v>
                </c:pt>
                <c:pt idx="137">
                  <c:v>13.8</c:v>
                </c:pt>
                <c:pt idx="138">
                  <c:v>13.9</c:v>
                </c:pt>
                <c:pt idx="139">
                  <c:v>14</c:v>
                </c:pt>
                <c:pt idx="140">
                  <c:v>14.1</c:v>
                </c:pt>
                <c:pt idx="141">
                  <c:v>14.2</c:v>
                </c:pt>
                <c:pt idx="142">
                  <c:v>14.3</c:v>
                </c:pt>
                <c:pt idx="143">
                  <c:v>14.4</c:v>
                </c:pt>
                <c:pt idx="144">
                  <c:v>14.5</c:v>
                </c:pt>
                <c:pt idx="145">
                  <c:v>14.6</c:v>
                </c:pt>
                <c:pt idx="146">
                  <c:v>14.7</c:v>
                </c:pt>
                <c:pt idx="147">
                  <c:v>14.8</c:v>
                </c:pt>
                <c:pt idx="148">
                  <c:v>14.9</c:v>
                </c:pt>
                <c:pt idx="149">
                  <c:v>15</c:v>
                </c:pt>
                <c:pt idx="150">
                  <c:v>15.1</c:v>
                </c:pt>
                <c:pt idx="151">
                  <c:v>15.2</c:v>
                </c:pt>
                <c:pt idx="152">
                  <c:v>15.3</c:v>
                </c:pt>
                <c:pt idx="153">
                  <c:v>15.4</c:v>
                </c:pt>
                <c:pt idx="154">
                  <c:v>15.5</c:v>
                </c:pt>
                <c:pt idx="155">
                  <c:v>15.6</c:v>
                </c:pt>
                <c:pt idx="156">
                  <c:v>15.7</c:v>
                </c:pt>
                <c:pt idx="157">
                  <c:v>15.8</c:v>
                </c:pt>
                <c:pt idx="158">
                  <c:v>15.9</c:v>
                </c:pt>
                <c:pt idx="159">
                  <c:v>16</c:v>
                </c:pt>
                <c:pt idx="160">
                  <c:v>16.100000000000001</c:v>
                </c:pt>
                <c:pt idx="161">
                  <c:v>16.2</c:v>
                </c:pt>
                <c:pt idx="162">
                  <c:v>16.3</c:v>
                </c:pt>
                <c:pt idx="163">
                  <c:v>16.399999999999999</c:v>
                </c:pt>
                <c:pt idx="164">
                  <c:v>16.5</c:v>
                </c:pt>
                <c:pt idx="165">
                  <c:v>16.600000000000001</c:v>
                </c:pt>
                <c:pt idx="166">
                  <c:v>16.7</c:v>
                </c:pt>
                <c:pt idx="167">
                  <c:v>16.8</c:v>
                </c:pt>
                <c:pt idx="168">
                  <c:v>16.899999999999999</c:v>
                </c:pt>
                <c:pt idx="169">
                  <c:v>17</c:v>
                </c:pt>
                <c:pt idx="170">
                  <c:v>17.100000000000001</c:v>
                </c:pt>
                <c:pt idx="171">
                  <c:v>17.2</c:v>
                </c:pt>
                <c:pt idx="172">
                  <c:v>17.3</c:v>
                </c:pt>
                <c:pt idx="173">
                  <c:v>17.399999999999999</c:v>
                </c:pt>
                <c:pt idx="174">
                  <c:v>17.5</c:v>
                </c:pt>
                <c:pt idx="175">
                  <c:v>17.600000000000001</c:v>
                </c:pt>
                <c:pt idx="176">
                  <c:v>17.7</c:v>
                </c:pt>
                <c:pt idx="177">
                  <c:v>17.8</c:v>
                </c:pt>
                <c:pt idx="178">
                  <c:v>17.899999999999999</c:v>
                </c:pt>
                <c:pt idx="179">
                  <c:v>18</c:v>
                </c:pt>
                <c:pt idx="180">
                  <c:v>18.100000000000001</c:v>
                </c:pt>
                <c:pt idx="181">
                  <c:v>18.2</c:v>
                </c:pt>
                <c:pt idx="182">
                  <c:v>18.3</c:v>
                </c:pt>
                <c:pt idx="183">
                  <c:v>18.399999999999999</c:v>
                </c:pt>
                <c:pt idx="184">
                  <c:v>18.5</c:v>
                </c:pt>
                <c:pt idx="185">
                  <c:v>18.600000000000001</c:v>
                </c:pt>
                <c:pt idx="186">
                  <c:v>18.7</c:v>
                </c:pt>
                <c:pt idx="187">
                  <c:v>18.8</c:v>
                </c:pt>
                <c:pt idx="188">
                  <c:v>18.899999999999999</c:v>
                </c:pt>
                <c:pt idx="189">
                  <c:v>19</c:v>
                </c:pt>
                <c:pt idx="190">
                  <c:v>19.100000000000001</c:v>
                </c:pt>
                <c:pt idx="191">
                  <c:v>19.2</c:v>
                </c:pt>
                <c:pt idx="192">
                  <c:v>19.3</c:v>
                </c:pt>
                <c:pt idx="193">
                  <c:v>19.399999999999999</c:v>
                </c:pt>
                <c:pt idx="194">
                  <c:v>19.5</c:v>
                </c:pt>
                <c:pt idx="195">
                  <c:v>19.600000000000001</c:v>
                </c:pt>
                <c:pt idx="196">
                  <c:v>19.7</c:v>
                </c:pt>
                <c:pt idx="197">
                  <c:v>19.8</c:v>
                </c:pt>
                <c:pt idx="198">
                  <c:v>19.899999999999999</c:v>
                </c:pt>
                <c:pt idx="199">
                  <c:v>20</c:v>
                </c:pt>
              </c:numCache>
            </c:numRef>
          </c:xVal>
          <c:yVal>
            <c:numRef>
              <c:f>'Piston Velocity'!$F$21:$F$220</c:f>
              <c:numCache>
                <c:formatCode>General</c:formatCode>
                <c:ptCount val="200"/>
                <c:pt idx="0">
                  <c:v>2.6600000000000006E-5</c:v>
                </c:pt>
                <c:pt idx="1">
                  <c:v>1.0640000000000002E-4</c:v>
                </c:pt>
                <c:pt idx="2">
                  <c:v>2.3939999999999999E-4</c:v>
                </c:pt>
                <c:pt idx="3">
                  <c:v>4.256000000000001E-4</c:v>
                </c:pt>
                <c:pt idx="4">
                  <c:v>6.6500000000000001E-4</c:v>
                </c:pt>
                <c:pt idx="5">
                  <c:v>9.5759999999999997E-4</c:v>
                </c:pt>
                <c:pt idx="6">
                  <c:v>1.3033999999999999E-3</c:v>
                </c:pt>
                <c:pt idx="7">
                  <c:v>1.7024000000000004E-3</c:v>
                </c:pt>
                <c:pt idx="8">
                  <c:v>2.1546E-3</c:v>
                </c:pt>
                <c:pt idx="9">
                  <c:v>2.66E-3</c:v>
                </c:pt>
                <c:pt idx="10">
                  <c:v>3.2186000000000007E-3</c:v>
                </c:pt>
                <c:pt idx="11">
                  <c:v>3.8303999999999999E-3</c:v>
                </c:pt>
                <c:pt idx="12">
                  <c:v>4.4954000000000001E-3</c:v>
                </c:pt>
                <c:pt idx="13">
                  <c:v>5.2135999999999997E-3</c:v>
                </c:pt>
                <c:pt idx="14">
                  <c:v>5.9850000000000007E-3</c:v>
                </c:pt>
                <c:pt idx="15">
                  <c:v>6.8096000000000016E-3</c:v>
                </c:pt>
                <c:pt idx="16">
                  <c:v>7.6873999999999996E-3</c:v>
                </c:pt>
                <c:pt idx="17">
                  <c:v>8.6184E-3</c:v>
                </c:pt>
                <c:pt idx="18">
                  <c:v>9.6025999999999993E-3</c:v>
                </c:pt>
                <c:pt idx="19">
                  <c:v>1.064E-2</c:v>
                </c:pt>
                <c:pt idx="20">
                  <c:v>1.1730600000000001E-2</c:v>
                </c:pt>
                <c:pt idx="21">
                  <c:v>1.2874400000000003E-2</c:v>
                </c:pt>
                <c:pt idx="22">
                  <c:v>1.4071399999999998E-2</c:v>
                </c:pt>
                <c:pt idx="23">
                  <c:v>1.5321599999999999E-2</c:v>
                </c:pt>
                <c:pt idx="24">
                  <c:v>1.6625000000000001E-2</c:v>
                </c:pt>
                <c:pt idx="25">
                  <c:v>1.79816E-2</c:v>
                </c:pt>
                <c:pt idx="26">
                  <c:v>1.9391400000000003E-2</c:v>
                </c:pt>
                <c:pt idx="27">
                  <c:v>2.0854399999999999E-2</c:v>
                </c:pt>
                <c:pt idx="28">
                  <c:v>2.2370600000000001E-2</c:v>
                </c:pt>
                <c:pt idx="29">
                  <c:v>2.3940000000000003E-2</c:v>
                </c:pt>
                <c:pt idx="30">
                  <c:v>2.5562600000000005E-2</c:v>
                </c:pt>
                <c:pt idx="31">
                  <c:v>2.7238400000000006E-2</c:v>
                </c:pt>
                <c:pt idx="32">
                  <c:v>2.8967399999999997E-2</c:v>
                </c:pt>
                <c:pt idx="33">
                  <c:v>3.0749599999999998E-2</c:v>
                </c:pt>
                <c:pt idx="34">
                  <c:v>3.2585000000000003E-2</c:v>
                </c:pt>
                <c:pt idx="35">
                  <c:v>3.44736E-2</c:v>
                </c:pt>
                <c:pt idx="36">
                  <c:v>3.6415400000000007E-2</c:v>
                </c:pt>
                <c:pt idx="37">
                  <c:v>3.8410399999999997E-2</c:v>
                </c:pt>
                <c:pt idx="38">
                  <c:v>4.0458600000000004E-2</c:v>
                </c:pt>
                <c:pt idx="39">
                  <c:v>4.2560000000000001E-2</c:v>
                </c:pt>
                <c:pt idx="40">
                  <c:v>4.4714599999999993E-2</c:v>
                </c:pt>
                <c:pt idx="41">
                  <c:v>4.6922400000000003E-2</c:v>
                </c:pt>
                <c:pt idx="42">
                  <c:v>4.9183399999999995E-2</c:v>
                </c:pt>
                <c:pt idx="43">
                  <c:v>5.1497600000000011E-2</c:v>
                </c:pt>
                <c:pt idx="44">
                  <c:v>5.3864999999999996E-2</c:v>
                </c:pt>
                <c:pt idx="45">
                  <c:v>5.6285599999999991E-2</c:v>
                </c:pt>
                <c:pt idx="46">
                  <c:v>5.875940000000001E-2</c:v>
                </c:pt>
                <c:pt idx="47">
                  <c:v>6.1286399999999998E-2</c:v>
                </c:pt>
                <c:pt idx="48">
                  <c:v>6.3866600000000023E-2</c:v>
                </c:pt>
                <c:pt idx="49">
                  <c:v>6.6500000000000004E-2</c:v>
                </c:pt>
                <c:pt idx="50">
                  <c:v>6.9186600000000001E-2</c:v>
                </c:pt>
                <c:pt idx="51">
                  <c:v>7.1926400000000001E-2</c:v>
                </c:pt>
                <c:pt idx="52">
                  <c:v>7.4719400000000005E-2</c:v>
                </c:pt>
                <c:pt idx="53">
                  <c:v>7.7565600000000012E-2</c:v>
                </c:pt>
                <c:pt idx="54">
                  <c:v>8.0464999999999995E-2</c:v>
                </c:pt>
                <c:pt idx="55">
                  <c:v>8.3417599999999995E-2</c:v>
                </c:pt>
                <c:pt idx="56">
                  <c:v>8.6423400000000011E-2</c:v>
                </c:pt>
                <c:pt idx="57">
                  <c:v>8.9482400000000004E-2</c:v>
                </c:pt>
                <c:pt idx="58">
                  <c:v>9.2594600000000013E-2</c:v>
                </c:pt>
                <c:pt idx="59">
                  <c:v>9.5760000000000012E-2</c:v>
                </c:pt>
                <c:pt idx="60">
                  <c:v>9.89786E-2</c:v>
                </c:pt>
                <c:pt idx="61">
                  <c:v>0.10225040000000002</c:v>
                </c:pt>
                <c:pt idx="62">
                  <c:v>0.1055754</c:v>
                </c:pt>
                <c:pt idx="63">
                  <c:v>0.10895360000000003</c:v>
                </c:pt>
                <c:pt idx="64">
                  <c:v>0.112385</c:v>
                </c:pt>
                <c:pt idx="65">
                  <c:v>0.11586959999999999</c:v>
                </c:pt>
                <c:pt idx="66">
                  <c:v>0.1194074</c:v>
                </c:pt>
                <c:pt idx="67">
                  <c:v>0.12299839999999999</c:v>
                </c:pt>
                <c:pt idx="68">
                  <c:v>0.12664260000000002</c:v>
                </c:pt>
                <c:pt idx="69">
                  <c:v>0.13034000000000001</c:v>
                </c:pt>
                <c:pt idx="70">
                  <c:v>0.1340906</c:v>
                </c:pt>
                <c:pt idx="71">
                  <c:v>0.1378944</c:v>
                </c:pt>
                <c:pt idx="72">
                  <c:v>0.1417514</c:v>
                </c:pt>
                <c:pt idx="73">
                  <c:v>0.14566160000000003</c:v>
                </c:pt>
                <c:pt idx="74">
                  <c:v>0.14962500000000001</c:v>
                </c:pt>
                <c:pt idx="75">
                  <c:v>0.15364159999999999</c:v>
                </c:pt>
                <c:pt idx="76">
                  <c:v>0.15771140000000003</c:v>
                </c:pt>
                <c:pt idx="77">
                  <c:v>0.16183440000000002</c:v>
                </c:pt>
                <c:pt idx="78">
                  <c:v>0.16601060000000001</c:v>
                </c:pt>
                <c:pt idx="79">
                  <c:v>0.17024</c:v>
                </c:pt>
                <c:pt idx="80">
                  <c:v>0.17452260000000003</c:v>
                </c:pt>
                <c:pt idx="81">
                  <c:v>0.17885839999999997</c:v>
                </c:pt>
                <c:pt idx="82">
                  <c:v>0.18324740000000006</c:v>
                </c:pt>
                <c:pt idx="83">
                  <c:v>0.18768960000000001</c:v>
                </c:pt>
                <c:pt idx="84">
                  <c:v>0.19218500000000002</c:v>
                </c:pt>
                <c:pt idx="85">
                  <c:v>0.19673359999999998</c:v>
                </c:pt>
                <c:pt idx="86">
                  <c:v>0.20133539999999997</c:v>
                </c:pt>
                <c:pt idx="87">
                  <c:v>0.20599040000000005</c:v>
                </c:pt>
                <c:pt idx="88">
                  <c:v>0.21069860000000001</c:v>
                </c:pt>
                <c:pt idx="89">
                  <c:v>0.21545999999999998</c:v>
                </c:pt>
                <c:pt idx="90">
                  <c:v>0.22027459999999999</c:v>
                </c:pt>
                <c:pt idx="91">
                  <c:v>0.22514239999999996</c:v>
                </c:pt>
                <c:pt idx="92">
                  <c:v>0.23006340000000006</c:v>
                </c:pt>
                <c:pt idx="93">
                  <c:v>0.23503760000000004</c:v>
                </c:pt>
                <c:pt idx="94">
                  <c:v>0.24006500000000003</c:v>
                </c:pt>
                <c:pt idx="95">
                  <c:v>0.24514559999999999</c:v>
                </c:pt>
                <c:pt idx="96">
                  <c:v>0.25027939999999999</c:v>
                </c:pt>
                <c:pt idx="97">
                  <c:v>0.25546640000000009</c:v>
                </c:pt>
                <c:pt idx="98">
                  <c:v>0.26070660000000001</c:v>
                </c:pt>
                <c:pt idx="99">
                  <c:v>0.26600000000000001</c:v>
                </c:pt>
                <c:pt idx="100">
                  <c:v>0.27134659999999999</c:v>
                </c:pt>
                <c:pt idx="101">
                  <c:v>0.2767464</c:v>
                </c:pt>
                <c:pt idx="102">
                  <c:v>0.28219940000000004</c:v>
                </c:pt>
                <c:pt idx="103">
                  <c:v>0.28770560000000001</c:v>
                </c:pt>
                <c:pt idx="104">
                  <c:v>0.29326500000000005</c:v>
                </c:pt>
                <c:pt idx="105">
                  <c:v>0.29887760000000002</c:v>
                </c:pt>
                <c:pt idx="106">
                  <c:v>0.30454339999999996</c:v>
                </c:pt>
                <c:pt idx="107">
                  <c:v>0.31026240000000005</c:v>
                </c:pt>
                <c:pt idx="108">
                  <c:v>0.3160346</c:v>
                </c:pt>
                <c:pt idx="109">
                  <c:v>0.32185999999999998</c:v>
                </c:pt>
                <c:pt idx="110">
                  <c:v>0.32773859999999999</c:v>
                </c:pt>
                <c:pt idx="111">
                  <c:v>0.33367039999999998</c:v>
                </c:pt>
                <c:pt idx="112">
                  <c:v>0.33965540000000005</c:v>
                </c:pt>
                <c:pt idx="113">
                  <c:v>0.34569360000000005</c:v>
                </c:pt>
                <c:pt idx="114">
                  <c:v>0.35178500000000001</c:v>
                </c:pt>
                <c:pt idx="115">
                  <c:v>0.35792960000000001</c:v>
                </c:pt>
                <c:pt idx="116">
                  <c:v>0.36412739999999999</c:v>
                </c:pt>
                <c:pt idx="117">
                  <c:v>0.37037840000000005</c:v>
                </c:pt>
                <c:pt idx="118">
                  <c:v>0.37668260000000003</c:v>
                </c:pt>
                <c:pt idx="119">
                  <c:v>0.38304000000000005</c:v>
                </c:pt>
                <c:pt idx="120">
                  <c:v>0.38945059999999998</c:v>
                </c:pt>
                <c:pt idx="121">
                  <c:v>0.3959144</c:v>
                </c:pt>
                <c:pt idx="122">
                  <c:v>0.40243140000000011</c:v>
                </c:pt>
                <c:pt idx="123">
                  <c:v>0.40900160000000008</c:v>
                </c:pt>
                <c:pt idx="124">
                  <c:v>0.41562500000000002</c:v>
                </c:pt>
                <c:pt idx="125">
                  <c:v>0.4223016</c:v>
                </c:pt>
                <c:pt idx="126">
                  <c:v>0.42903140000000001</c:v>
                </c:pt>
                <c:pt idx="127">
                  <c:v>0.4358144000000001</c:v>
                </c:pt>
                <c:pt idx="128">
                  <c:v>0.44265060000000001</c:v>
                </c:pt>
                <c:pt idx="129">
                  <c:v>0.44954</c:v>
                </c:pt>
                <c:pt idx="130">
                  <c:v>0.45648260000000002</c:v>
                </c:pt>
                <c:pt idx="131">
                  <c:v>0.46347839999999996</c:v>
                </c:pt>
                <c:pt idx="132">
                  <c:v>0.4705274000000001</c:v>
                </c:pt>
                <c:pt idx="133">
                  <c:v>0.47762959999999999</c:v>
                </c:pt>
                <c:pt idx="134">
                  <c:v>0.48478500000000002</c:v>
                </c:pt>
                <c:pt idx="135">
                  <c:v>0.49199359999999998</c:v>
                </c:pt>
                <c:pt idx="136">
                  <c:v>0.49925539999999996</c:v>
                </c:pt>
                <c:pt idx="137">
                  <c:v>0.50657040000000009</c:v>
                </c:pt>
                <c:pt idx="138">
                  <c:v>0.51393860000000002</c:v>
                </c:pt>
                <c:pt idx="139">
                  <c:v>0.52136000000000005</c:v>
                </c:pt>
                <c:pt idx="140">
                  <c:v>0.52883460000000004</c:v>
                </c:pt>
                <c:pt idx="141">
                  <c:v>0.53636240000000002</c:v>
                </c:pt>
                <c:pt idx="142">
                  <c:v>0.54394340000000008</c:v>
                </c:pt>
                <c:pt idx="143">
                  <c:v>0.5515776</c:v>
                </c:pt>
                <c:pt idx="144">
                  <c:v>0.55926500000000001</c:v>
                </c:pt>
                <c:pt idx="145">
                  <c:v>0.5670056</c:v>
                </c:pt>
                <c:pt idx="146">
                  <c:v>0.57479939999999996</c:v>
                </c:pt>
                <c:pt idx="147">
                  <c:v>0.58264640000000012</c:v>
                </c:pt>
                <c:pt idx="148">
                  <c:v>0.59054660000000003</c:v>
                </c:pt>
                <c:pt idx="149">
                  <c:v>0.59850000000000003</c:v>
                </c:pt>
                <c:pt idx="150">
                  <c:v>0.60650660000000001</c:v>
                </c:pt>
                <c:pt idx="151">
                  <c:v>0.61456639999999996</c:v>
                </c:pt>
                <c:pt idx="152">
                  <c:v>0.62267940000000011</c:v>
                </c:pt>
                <c:pt idx="153">
                  <c:v>0.63084560000000012</c:v>
                </c:pt>
                <c:pt idx="154">
                  <c:v>0.63906499999999999</c:v>
                </c:pt>
                <c:pt idx="155">
                  <c:v>0.64733760000000007</c:v>
                </c:pt>
                <c:pt idx="156">
                  <c:v>0.65566340000000001</c:v>
                </c:pt>
                <c:pt idx="157">
                  <c:v>0.66404240000000003</c:v>
                </c:pt>
                <c:pt idx="158">
                  <c:v>0.67247460000000003</c:v>
                </c:pt>
                <c:pt idx="159">
                  <c:v>0.68096000000000001</c:v>
                </c:pt>
                <c:pt idx="160">
                  <c:v>0.68949860000000018</c:v>
                </c:pt>
                <c:pt idx="161">
                  <c:v>0.69809040000000011</c:v>
                </c:pt>
                <c:pt idx="162">
                  <c:v>0.70673540000000001</c:v>
                </c:pt>
                <c:pt idx="163">
                  <c:v>0.71543359999999989</c:v>
                </c:pt>
                <c:pt idx="164">
                  <c:v>0.72418500000000008</c:v>
                </c:pt>
                <c:pt idx="165">
                  <c:v>0.73298960000000024</c:v>
                </c:pt>
                <c:pt idx="166">
                  <c:v>0.74184740000000005</c:v>
                </c:pt>
                <c:pt idx="167">
                  <c:v>0.75075840000000005</c:v>
                </c:pt>
                <c:pt idx="168">
                  <c:v>0.75972259999999991</c:v>
                </c:pt>
                <c:pt idx="169">
                  <c:v>0.76874000000000009</c:v>
                </c:pt>
                <c:pt idx="170">
                  <c:v>0.77781060000000013</c:v>
                </c:pt>
                <c:pt idx="171">
                  <c:v>0.78693439999999992</c:v>
                </c:pt>
                <c:pt idx="172">
                  <c:v>0.79611140000000002</c:v>
                </c:pt>
                <c:pt idx="173">
                  <c:v>0.80534159999999988</c:v>
                </c:pt>
                <c:pt idx="174">
                  <c:v>0.81462500000000004</c:v>
                </c:pt>
                <c:pt idx="175">
                  <c:v>0.82396160000000018</c:v>
                </c:pt>
                <c:pt idx="176">
                  <c:v>0.83335139999999996</c:v>
                </c:pt>
                <c:pt idx="177">
                  <c:v>0.84279440000000005</c:v>
                </c:pt>
                <c:pt idx="178">
                  <c:v>0.8522905999999999</c:v>
                </c:pt>
                <c:pt idx="179">
                  <c:v>0.86183999999999994</c:v>
                </c:pt>
                <c:pt idx="180">
                  <c:v>0.87144260000000018</c:v>
                </c:pt>
                <c:pt idx="181">
                  <c:v>0.88109839999999995</c:v>
                </c:pt>
                <c:pt idx="182">
                  <c:v>0.89080740000000025</c:v>
                </c:pt>
                <c:pt idx="183">
                  <c:v>0.90056959999999986</c:v>
                </c:pt>
                <c:pt idx="184">
                  <c:v>0.910385</c:v>
                </c:pt>
                <c:pt idx="185">
                  <c:v>0.92025360000000023</c:v>
                </c:pt>
                <c:pt idx="186">
                  <c:v>0.9301754000000001</c:v>
                </c:pt>
                <c:pt idx="187">
                  <c:v>0.94015040000000016</c:v>
                </c:pt>
                <c:pt idx="188">
                  <c:v>0.95017859999999987</c:v>
                </c:pt>
                <c:pt idx="189">
                  <c:v>0.96026000000000011</c:v>
                </c:pt>
                <c:pt idx="190">
                  <c:v>0.97039460000000022</c:v>
                </c:pt>
                <c:pt idx="191">
                  <c:v>0.98058239999999997</c:v>
                </c:pt>
                <c:pt idx="192">
                  <c:v>0.99082340000000002</c:v>
                </c:pt>
                <c:pt idx="193">
                  <c:v>1.0011175999999999</c:v>
                </c:pt>
                <c:pt idx="194">
                  <c:v>1.0114650000000001</c:v>
                </c:pt>
                <c:pt idx="195">
                  <c:v>1.0218656000000004</c:v>
                </c:pt>
                <c:pt idx="196">
                  <c:v>1.0323194</c:v>
                </c:pt>
                <c:pt idx="197">
                  <c:v>1.0428264</c:v>
                </c:pt>
                <c:pt idx="198">
                  <c:v>1.0533865999999998</c:v>
                </c:pt>
                <c:pt idx="199">
                  <c:v>1.0640000000000001</c:v>
                </c:pt>
              </c:numCache>
            </c:numRef>
          </c:yVal>
          <c:smooth val="0"/>
          <c:extLst>
            <c:ext xmlns:c16="http://schemas.microsoft.com/office/drawing/2014/chart" uri="{C3380CC4-5D6E-409C-BE32-E72D297353CC}">
              <c16:uniqueId val="{00000005-CED8-8548-8BDB-E89EDCAA6827}"/>
            </c:ext>
          </c:extLst>
        </c:ser>
        <c:ser>
          <c:idx val="5"/>
          <c:order val="5"/>
          <c:tx>
            <c:v>Cole and Caraco 1998</c:v>
          </c:tx>
          <c:spPr>
            <a:ln w="25400" cap="rnd">
              <a:noFill/>
              <a:round/>
            </a:ln>
            <a:effectLst/>
          </c:spPr>
          <c:marker>
            <c:symbol val="circle"/>
            <c:size val="5"/>
            <c:spPr>
              <a:solidFill>
                <a:schemeClr val="accent6"/>
              </a:solidFill>
              <a:ln w="9525">
                <a:solidFill>
                  <a:schemeClr val="accent6"/>
                </a:solidFill>
              </a:ln>
              <a:effectLst/>
            </c:spPr>
          </c:marker>
          <c:xVal>
            <c:numRef>
              <c:f>'Piston Velocity'!$A$21:$A$220</c:f>
              <c:numCache>
                <c:formatCode>General</c:formatCode>
                <c:ptCount val="200"/>
                <c:pt idx="0">
                  <c:v>0.1</c:v>
                </c:pt>
                <c:pt idx="1">
                  <c:v>0.2</c:v>
                </c:pt>
                <c:pt idx="2">
                  <c:v>0.3</c:v>
                </c:pt>
                <c:pt idx="3">
                  <c:v>0.4</c:v>
                </c:pt>
                <c:pt idx="4">
                  <c:v>0.5</c:v>
                </c:pt>
                <c:pt idx="5">
                  <c:v>0.6</c:v>
                </c:pt>
                <c:pt idx="6">
                  <c:v>0.7</c:v>
                </c:pt>
                <c:pt idx="7">
                  <c:v>0.8</c:v>
                </c:pt>
                <c:pt idx="8">
                  <c:v>0.9</c:v>
                </c:pt>
                <c:pt idx="9">
                  <c:v>1</c:v>
                </c:pt>
                <c:pt idx="10">
                  <c:v>1.1000000000000001</c:v>
                </c:pt>
                <c:pt idx="11">
                  <c:v>1.2</c:v>
                </c:pt>
                <c:pt idx="12">
                  <c:v>1.3</c:v>
                </c:pt>
                <c:pt idx="13">
                  <c:v>1.4</c:v>
                </c:pt>
                <c:pt idx="14">
                  <c:v>1.5</c:v>
                </c:pt>
                <c:pt idx="15">
                  <c:v>1.6</c:v>
                </c:pt>
                <c:pt idx="16">
                  <c:v>1.7</c:v>
                </c:pt>
                <c:pt idx="17">
                  <c:v>1.8</c:v>
                </c:pt>
                <c:pt idx="18">
                  <c:v>1.9</c:v>
                </c:pt>
                <c:pt idx="19">
                  <c:v>2</c:v>
                </c:pt>
                <c:pt idx="20">
                  <c:v>2.1</c:v>
                </c:pt>
                <c:pt idx="21">
                  <c:v>2.2000000000000002</c:v>
                </c:pt>
                <c:pt idx="22">
                  <c:v>2.2999999999999998</c:v>
                </c:pt>
                <c:pt idx="23">
                  <c:v>2.4</c:v>
                </c:pt>
                <c:pt idx="24">
                  <c:v>2.5</c:v>
                </c:pt>
                <c:pt idx="25">
                  <c:v>2.6</c:v>
                </c:pt>
                <c:pt idx="26">
                  <c:v>2.7</c:v>
                </c:pt>
                <c:pt idx="27">
                  <c:v>2.8</c:v>
                </c:pt>
                <c:pt idx="28">
                  <c:v>2.9</c:v>
                </c:pt>
                <c:pt idx="29">
                  <c:v>3</c:v>
                </c:pt>
                <c:pt idx="30">
                  <c:v>3.1</c:v>
                </c:pt>
                <c:pt idx="31">
                  <c:v>3.2</c:v>
                </c:pt>
                <c:pt idx="32">
                  <c:v>3.3</c:v>
                </c:pt>
                <c:pt idx="33">
                  <c:v>3.4</c:v>
                </c:pt>
                <c:pt idx="34">
                  <c:v>3.5</c:v>
                </c:pt>
                <c:pt idx="35">
                  <c:v>3.6</c:v>
                </c:pt>
                <c:pt idx="36">
                  <c:v>3.7</c:v>
                </c:pt>
                <c:pt idx="37">
                  <c:v>3.8</c:v>
                </c:pt>
                <c:pt idx="38">
                  <c:v>3.9</c:v>
                </c:pt>
                <c:pt idx="39">
                  <c:v>4</c:v>
                </c:pt>
                <c:pt idx="40">
                  <c:v>4.0999999999999996</c:v>
                </c:pt>
                <c:pt idx="41">
                  <c:v>4.2</c:v>
                </c:pt>
                <c:pt idx="42">
                  <c:v>4.3</c:v>
                </c:pt>
                <c:pt idx="43">
                  <c:v>4.4000000000000004</c:v>
                </c:pt>
                <c:pt idx="44">
                  <c:v>4.5</c:v>
                </c:pt>
                <c:pt idx="45">
                  <c:v>4.5999999999999996</c:v>
                </c:pt>
                <c:pt idx="46">
                  <c:v>4.7</c:v>
                </c:pt>
                <c:pt idx="47">
                  <c:v>4.8</c:v>
                </c:pt>
                <c:pt idx="48">
                  <c:v>4.9000000000000004</c:v>
                </c:pt>
                <c:pt idx="49">
                  <c:v>5</c:v>
                </c:pt>
                <c:pt idx="50">
                  <c:v>5.0999999999999996</c:v>
                </c:pt>
                <c:pt idx="51">
                  <c:v>5.2</c:v>
                </c:pt>
                <c:pt idx="52">
                  <c:v>5.3</c:v>
                </c:pt>
                <c:pt idx="53">
                  <c:v>5.4</c:v>
                </c:pt>
                <c:pt idx="54">
                  <c:v>5.5</c:v>
                </c:pt>
                <c:pt idx="55">
                  <c:v>5.6</c:v>
                </c:pt>
                <c:pt idx="56">
                  <c:v>5.7</c:v>
                </c:pt>
                <c:pt idx="57">
                  <c:v>5.8</c:v>
                </c:pt>
                <c:pt idx="58">
                  <c:v>5.9</c:v>
                </c:pt>
                <c:pt idx="59">
                  <c:v>6</c:v>
                </c:pt>
                <c:pt idx="60">
                  <c:v>6.1</c:v>
                </c:pt>
                <c:pt idx="61">
                  <c:v>6.2</c:v>
                </c:pt>
                <c:pt idx="62">
                  <c:v>6.3</c:v>
                </c:pt>
                <c:pt idx="63">
                  <c:v>6.4</c:v>
                </c:pt>
                <c:pt idx="64">
                  <c:v>6.5</c:v>
                </c:pt>
                <c:pt idx="65">
                  <c:v>6.6</c:v>
                </c:pt>
                <c:pt idx="66">
                  <c:v>6.7</c:v>
                </c:pt>
                <c:pt idx="67">
                  <c:v>6.8</c:v>
                </c:pt>
                <c:pt idx="68">
                  <c:v>6.9</c:v>
                </c:pt>
                <c:pt idx="69">
                  <c:v>7</c:v>
                </c:pt>
                <c:pt idx="70">
                  <c:v>7.1</c:v>
                </c:pt>
                <c:pt idx="71">
                  <c:v>7.2</c:v>
                </c:pt>
                <c:pt idx="72">
                  <c:v>7.3</c:v>
                </c:pt>
                <c:pt idx="73">
                  <c:v>7.4</c:v>
                </c:pt>
                <c:pt idx="74">
                  <c:v>7.5</c:v>
                </c:pt>
                <c:pt idx="75">
                  <c:v>7.6</c:v>
                </c:pt>
                <c:pt idx="76">
                  <c:v>7.7</c:v>
                </c:pt>
                <c:pt idx="77">
                  <c:v>7.8</c:v>
                </c:pt>
                <c:pt idx="78">
                  <c:v>7.9</c:v>
                </c:pt>
                <c:pt idx="79">
                  <c:v>8</c:v>
                </c:pt>
                <c:pt idx="80">
                  <c:v>8.1</c:v>
                </c:pt>
                <c:pt idx="81">
                  <c:v>8.1999999999999993</c:v>
                </c:pt>
                <c:pt idx="82">
                  <c:v>8.3000000000000007</c:v>
                </c:pt>
                <c:pt idx="83">
                  <c:v>8.4</c:v>
                </c:pt>
                <c:pt idx="84">
                  <c:v>8.5</c:v>
                </c:pt>
                <c:pt idx="85">
                  <c:v>8.6</c:v>
                </c:pt>
                <c:pt idx="86">
                  <c:v>8.6999999999999993</c:v>
                </c:pt>
                <c:pt idx="87">
                  <c:v>8.8000000000000007</c:v>
                </c:pt>
                <c:pt idx="88">
                  <c:v>8.9</c:v>
                </c:pt>
                <c:pt idx="89">
                  <c:v>9</c:v>
                </c:pt>
                <c:pt idx="90">
                  <c:v>9.1</c:v>
                </c:pt>
                <c:pt idx="91">
                  <c:v>9.1999999999999993</c:v>
                </c:pt>
                <c:pt idx="92">
                  <c:v>9.3000000000000007</c:v>
                </c:pt>
                <c:pt idx="93">
                  <c:v>9.4</c:v>
                </c:pt>
                <c:pt idx="94">
                  <c:v>9.5</c:v>
                </c:pt>
                <c:pt idx="95">
                  <c:v>9.6</c:v>
                </c:pt>
                <c:pt idx="96">
                  <c:v>9.6999999999999993</c:v>
                </c:pt>
                <c:pt idx="97">
                  <c:v>9.8000000000000007</c:v>
                </c:pt>
                <c:pt idx="98">
                  <c:v>9.9</c:v>
                </c:pt>
                <c:pt idx="99">
                  <c:v>10</c:v>
                </c:pt>
                <c:pt idx="100">
                  <c:v>10.1</c:v>
                </c:pt>
                <c:pt idx="101">
                  <c:v>10.199999999999999</c:v>
                </c:pt>
                <c:pt idx="102">
                  <c:v>10.3</c:v>
                </c:pt>
                <c:pt idx="103">
                  <c:v>10.4</c:v>
                </c:pt>
                <c:pt idx="104">
                  <c:v>10.5</c:v>
                </c:pt>
                <c:pt idx="105">
                  <c:v>10.6</c:v>
                </c:pt>
                <c:pt idx="106">
                  <c:v>10.7</c:v>
                </c:pt>
                <c:pt idx="107">
                  <c:v>10.8</c:v>
                </c:pt>
                <c:pt idx="108">
                  <c:v>10.9</c:v>
                </c:pt>
                <c:pt idx="109">
                  <c:v>11</c:v>
                </c:pt>
                <c:pt idx="110">
                  <c:v>11.1</c:v>
                </c:pt>
                <c:pt idx="111">
                  <c:v>11.2</c:v>
                </c:pt>
                <c:pt idx="112">
                  <c:v>11.3</c:v>
                </c:pt>
                <c:pt idx="113">
                  <c:v>11.4</c:v>
                </c:pt>
                <c:pt idx="114">
                  <c:v>11.5</c:v>
                </c:pt>
                <c:pt idx="115">
                  <c:v>11.6</c:v>
                </c:pt>
                <c:pt idx="116">
                  <c:v>11.7</c:v>
                </c:pt>
                <c:pt idx="117">
                  <c:v>11.8</c:v>
                </c:pt>
                <c:pt idx="118">
                  <c:v>11.9</c:v>
                </c:pt>
                <c:pt idx="119">
                  <c:v>12</c:v>
                </c:pt>
                <c:pt idx="120">
                  <c:v>12.1</c:v>
                </c:pt>
                <c:pt idx="121">
                  <c:v>12.2</c:v>
                </c:pt>
                <c:pt idx="122">
                  <c:v>12.3</c:v>
                </c:pt>
                <c:pt idx="123">
                  <c:v>12.4</c:v>
                </c:pt>
                <c:pt idx="124">
                  <c:v>12.5</c:v>
                </c:pt>
                <c:pt idx="125">
                  <c:v>12.6</c:v>
                </c:pt>
                <c:pt idx="126">
                  <c:v>12.7</c:v>
                </c:pt>
                <c:pt idx="127">
                  <c:v>12.8</c:v>
                </c:pt>
                <c:pt idx="128">
                  <c:v>12.9</c:v>
                </c:pt>
                <c:pt idx="129">
                  <c:v>13</c:v>
                </c:pt>
                <c:pt idx="130">
                  <c:v>13.1</c:v>
                </c:pt>
                <c:pt idx="131">
                  <c:v>13.2</c:v>
                </c:pt>
                <c:pt idx="132">
                  <c:v>13.3</c:v>
                </c:pt>
                <c:pt idx="133">
                  <c:v>13.4</c:v>
                </c:pt>
                <c:pt idx="134">
                  <c:v>13.5</c:v>
                </c:pt>
                <c:pt idx="135">
                  <c:v>13.6</c:v>
                </c:pt>
                <c:pt idx="136">
                  <c:v>13.7</c:v>
                </c:pt>
                <c:pt idx="137">
                  <c:v>13.8</c:v>
                </c:pt>
                <c:pt idx="138">
                  <c:v>13.9</c:v>
                </c:pt>
                <c:pt idx="139">
                  <c:v>14</c:v>
                </c:pt>
                <c:pt idx="140">
                  <c:v>14.1</c:v>
                </c:pt>
                <c:pt idx="141">
                  <c:v>14.2</c:v>
                </c:pt>
                <c:pt idx="142">
                  <c:v>14.3</c:v>
                </c:pt>
                <c:pt idx="143">
                  <c:v>14.4</c:v>
                </c:pt>
                <c:pt idx="144">
                  <c:v>14.5</c:v>
                </c:pt>
                <c:pt idx="145">
                  <c:v>14.6</c:v>
                </c:pt>
                <c:pt idx="146">
                  <c:v>14.7</c:v>
                </c:pt>
                <c:pt idx="147">
                  <c:v>14.8</c:v>
                </c:pt>
                <c:pt idx="148">
                  <c:v>14.9</c:v>
                </c:pt>
                <c:pt idx="149">
                  <c:v>15</c:v>
                </c:pt>
                <c:pt idx="150">
                  <c:v>15.1</c:v>
                </c:pt>
                <c:pt idx="151">
                  <c:v>15.2</c:v>
                </c:pt>
                <c:pt idx="152">
                  <c:v>15.3</c:v>
                </c:pt>
                <c:pt idx="153">
                  <c:v>15.4</c:v>
                </c:pt>
                <c:pt idx="154">
                  <c:v>15.5</c:v>
                </c:pt>
                <c:pt idx="155">
                  <c:v>15.6</c:v>
                </c:pt>
                <c:pt idx="156">
                  <c:v>15.7</c:v>
                </c:pt>
                <c:pt idx="157">
                  <c:v>15.8</c:v>
                </c:pt>
                <c:pt idx="158">
                  <c:v>15.9</c:v>
                </c:pt>
                <c:pt idx="159">
                  <c:v>16</c:v>
                </c:pt>
                <c:pt idx="160">
                  <c:v>16.100000000000001</c:v>
                </c:pt>
                <c:pt idx="161">
                  <c:v>16.2</c:v>
                </c:pt>
                <c:pt idx="162">
                  <c:v>16.3</c:v>
                </c:pt>
                <c:pt idx="163">
                  <c:v>16.399999999999999</c:v>
                </c:pt>
                <c:pt idx="164">
                  <c:v>16.5</c:v>
                </c:pt>
                <c:pt idx="165">
                  <c:v>16.600000000000001</c:v>
                </c:pt>
                <c:pt idx="166">
                  <c:v>16.7</c:v>
                </c:pt>
                <c:pt idx="167">
                  <c:v>16.8</c:v>
                </c:pt>
                <c:pt idx="168">
                  <c:v>16.899999999999999</c:v>
                </c:pt>
                <c:pt idx="169">
                  <c:v>17</c:v>
                </c:pt>
                <c:pt idx="170">
                  <c:v>17.100000000000001</c:v>
                </c:pt>
                <c:pt idx="171">
                  <c:v>17.2</c:v>
                </c:pt>
                <c:pt idx="172">
                  <c:v>17.3</c:v>
                </c:pt>
                <c:pt idx="173">
                  <c:v>17.399999999999999</c:v>
                </c:pt>
                <c:pt idx="174">
                  <c:v>17.5</c:v>
                </c:pt>
                <c:pt idx="175">
                  <c:v>17.600000000000001</c:v>
                </c:pt>
                <c:pt idx="176">
                  <c:v>17.7</c:v>
                </c:pt>
                <c:pt idx="177">
                  <c:v>17.8</c:v>
                </c:pt>
                <c:pt idx="178">
                  <c:v>17.899999999999999</c:v>
                </c:pt>
                <c:pt idx="179">
                  <c:v>18</c:v>
                </c:pt>
                <c:pt idx="180">
                  <c:v>18.100000000000001</c:v>
                </c:pt>
                <c:pt idx="181">
                  <c:v>18.2</c:v>
                </c:pt>
                <c:pt idx="182">
                  <c:v>18.3</c:v>
                </c:pt>
                <c:pt idx="183">
                  <c:v>18.399999999999999</c:v>
                </c:pt>
                <c:pt idx="184">
                  <c:v>18.5</c:v>
                </c:pt>
                <c:pt idx="185">
                  <c:v>18.600000000000001</c:v>
                </c:pt>
                <c:pt idx="186">
                  <c:v>18.7</c:v>
                </c:pt>
                <c:pt idx="187">
                  <c:v>18.8</c:v>
                </c:pt>
                <c:pt idx="188">
                  <c:v>18.899999999999999</c:v>
                </c:pt>
                <c:pt idx="189">
                  <c:v>19</c:v>
                </c:pt>
                <c:pt idx="190">
                  <c:v>19.100000000000001</c:v>
                </c:pt>
                <c:pt idx="191">
                  <c:v>19.2</c:v>
                </c:pt>
                <c:pt idx="192">
                  <c:v>19.3</c:v>
                </c:pt>
                <c:pt idx="193">
                  <c:v>19.399999999999999</c:v>
                </c:pt>
                <c:pt idx="194">
                  <c:v>19.5</c:v>
                </c:pt>
                <c:pt idx="195">
                  <c:v>19.600000000000001</c:v>
                </c:pt>
                <c:pt idx="196">
                  <c:v>19.7</c:v>
                </c:pt>
                <c:pt idx="197">
                  <c:v>19.8</c:v>
                </c:pt>
                <c:pt idx="198">
                  <c:v>19.899999999999999</c:v>
                </c:pt>
                <c:pt idx="199">
                  <c:v>20</c:v>
                </c:pt>
              </c:numCache>
            </c:numRef>
          </c:xVal>
          <c:yVal>
            <c:numRef>
              <c:f>'Piston Velocity'!$E$21:$E$220</c:f>
              <c:numCache>
                <c:formatCode>General</c:formatCode>
                <c:ptCount val="200"/>
                <c:pt idx="0">
                  <c:v>2.0742898139771829E-2</c:v>
                </c:pt>
                <c:pt idx="1">
                  <c:v>2.0839376467315578E-2</c:v>
                </c:pt>
                <c:pt idx="2">
                  <c:v>2.0977679995061206E-2</c:v>
                </c:pt>
                <c:pt idx="3">
                  <c:v>2.1152835478290975E-2</c:v>
                </c:pt>
                <c:pt idx="4">
                  <c:v>2.136174012217289E-2</c:v>
                </c:pt>
                <c:pt idx="5">
                  <c:v>2.1602184965634614E-2</c:v>
                </c:pt>
                <c:pt idx="6">
                  <c:v>2.1872479148569025E-2</c:v>
                </c:pt>
                <c:pt idx="7">
                  <c:v>2.2171266809587874E-2</c:v>
                </c:pt>
                <c:pt idx="8">
                  <c:v>2.2497424785021192E-2</c:v>
                </c:pt>
                <c:pt idx="9">
                  <c:v>2.2849999999999995E-2</c:v>
                </c:pt>
                <c:pt idx="10">
                  <c:v>2.3228168551227127E-2</c:v>
                </c:pt>
                <c:pt idx="11">
                  <c:v>2.363120760117313E-2</c:v>
                </c:pt>
                <c:pt idx="12">
                  <c:v>2.4058475301713803E-2</c:v>
                </c:pt>
                <c:pt idx="13">
                  <c:v>2.4509395992411639E-2</c:v>
                </c:pt>
                <c:pt idx="14">
                  <c:v>2.498344899881725E-2</c:v>
                </c:pt>
                <c:pt idx="15">
                  <c:v>2.548015996706858E-2</c:v>
                </c:pt>
                <c:pt idx="16">
                  <c:v>2.5999094033892466E-2</c:v>
                </c:pt>
                <c:pt idx="17">
                  <c:v>2.6539850355614219E-2</c:v>
                </c:pt>
                <c:pt idx="18">
                  <c:v>2.710205766361767E-2</c:v>
                </c:pt>
                <c:pt idx="19">
                  <c:v>2.7685370608663624E-2</c:v>
                </c:pt>
                <c:pt idx="20">
                  <c:v>2.8289466720834461E-2</c:v>
                </c:pt>
                <c:pt idx="21">
                  <c:v>2.8914043856506824E-2</c:v>
                </c:pt>
                <c:pt idx="22">
                  <c:v>2.9558818035345373E-2</c:v>
                </c:pt>
                <c:pt idx="23">
                  <c:v>3.0223521593081958E-2</c:v>
                </c:pt>
                <c:pt idx="24">
                  <c:v>3.0907901592528774E-2</c:v>
                </c:pt>
                <c:pt idx="25">
                  <c:v>3.1611718447681063E-2</c:v>
                </c:pt>
                <c:pt idx="26">
                  <c:v>3.2334744725115494E-2</c:v>
                </c:pt>
                <c:pt idx="27">
                  <c:v>3.3076764094024769E-2</c:v>
                </c:pt>
                <c:pt idx="28">
                  <c:v>3.3837570401734067E-2</c:v>
                </c:pt>
                <c:pt idx="29">
                  <c:v>3.461696685583613E-2</c:v>
                </c:pt>
                <c:pt idx="30">
                  <c:v>3.5414765297459988E-2</c:v>
                </c:pt>
                <c:pt idx="31">
                  <c:v>3.6230785552870383E-2</c:v>
                </c:pt>
                <c:pt idx="32">
                  <c:v>3.7064854852741941E-2</c:v>
                </c:pt>
                <c:pt idx="33">
                  <c:v>3.7916807310184757E-2</c:v>
                </c:pt>
                <c:pt idx="34">
                  <c:v>3.8786483450005349E-2</c:v>
                </c:pt>
                <c:pt idx="35">
                  <c:v>3.9673729782837869E-2</c:v>
                </c:pt>
                <c:pt idx="36">
                  <c:v>4.0578398418728082E-2</c:v>
                </c:pt>
                <c:pt idx="37">
                  <c:v>4.1500346715537033E-2</c:v>
                </c:pt>
                <c:pt idx="38">
                  <c:v>4.2439436958183814E-2</c:v>
                </c:pt>
                <c:pt idx="39">
                  <c:v>4.3395536065293776E-2</c:v>
                </c:pt>
                <c:pt idx="40">
                  <c:v>4.4368515320277566E-2</c:v>
                </c:pt>
                <c:pt idx="41">
                  <c:v>4.5358250124254769E-2</c:v>
                </c:pt>
                <c:pt idx="42">
                  <c:v>4.6364619768565166E-2</c:v>
                </c:pt>
                <c:pt idx="43">
                  <c:v>4.7387507224891531E-2</c:v>
                </c:pt>
                <c:pt idx="44">
                  <c:v>4.8426798951257746E-2</c:v>
                </c:pt>
                <c:pt idx="45">
                  <c:v>4.9482384712372485E-2</c:v>
                </c:pt>
                <c:pt idx="46">
                  <c:v>5.055415741296649E-2</c:v>
                </c:pt>
                <c:pt idx="47">
                  <c:v>5.1642012942924705E-2</c:v>
                </c:pt>
                <c:pt idx="48">
                  <c:v>5.2745850033148772E-2</c:v>
                </c:pt>
                <c:pt idx="49">
                  <c:v>5.3865570121200503E-2</c:v>
                </c:pt>
                <c:pt idx="50">
                  <c:v>5.500107722587929E-2</c:v>
                </c:pt>
                <c:pt idx="51">
                  <c:v>5.6152277829973958E-2</c:v>
                </c:pt>
                <c:pt idx="52">
                  <c:v>5.7319080770509068E-2</c:v>
                </c:pt>
                <c:pt idx="53">
                  <c:v>5.8501397135872525E-2</c:v>
                </c:pt>
                <c:pt idx="54">
                  <c:v>5.9699140169273114E-2</c:v>
                </c:pt>
                <c:pt idx="55">
                  <c:v>6.0912225178029737E-2</c:v>
                </c:pt>
                <c:pt idx="56">
                  <c:v>6.2140569448241333E-2</c:v>
                </c:pt>
                <c:pt idx="57">
                  <c:v>6.3384092164429015E-2</c:v>
                </c:pt>
                <c:pt idx="58">
                  <c:v>6.4642714333779633E-2</c:v>
                </c:pt>
                <c:pt idx="59">
                  <c:v>6.591635871465279E-2</c:v>
                </c:pt>
                <c:pt idx="60">
                  <c:v>6.7204949749044382E-2</c:v>
                </c:pt>
                <c:pt idx="61">
                  <c:v>6.8508413498725801E-2</c:v>
                </c:pt>
                <c:pt idx="62">
                  <c:v>6.9826677584802072E-2</c:v>
                </c:pt>
                <c:pt idx="63">
                  <c:v>7.1159671130455099E-2</c:v>
                </c:pt>
                <c:pt idx="64">
                  <c:v>7.2507324706655413E-2</c:v>
                </c:pt>
                <c:pt idx="65">
                  <c:v>7.3869570280646404E-2</c:v>
                </c:pt>
                <c:pt idx="66">
                  <c:v>7.5246341167018199E-2</c:v>
                </c:pt>
                <c:pt idx="67">
                  <c:v>7.6637571981204508E-2</c:v>
                </c:pt>
                <c:pt idx="68">
                  <c:v>7.8043198595248817E-2</c:v>
                </c:pt>
                <c:pt idx="69">
                  <c:v>7.946315809569697E-2</c:v>
                </c:pt>
                <c:pt idx="70">
                  <c:v>8.0897388743485343E-2</c:v>
                </c:pt>
                <c:pt idx="71">
                  <c:v>8.2345829935702899E-2</c:v>
                </c:pt>
                <c:pt idx="72">
                  <c:v>8.3808422169114924E-2</c:v>
                </c:pt>
                <c:pt idx="73">
                  <c:v>8.5285107005343572E-2</c:v>
                </c:pt>
                <c:pt idx="74">
                  <c:v>8.6775827037609152E-2</c:v>
                </c:pt>
                <c:pt idx="75">
                  <c:v>8.8280525858942027E-2</c:v>
                </c:pt>
                <c:pt idx="76">
                  <c:v>8.9799148031780865E-2</c:v>
                </c:pt>
                <c:pt idx="77">
                  <c:v>9.1331639058880504E-2</c:v>
                </c:pt>
                <c:pt idx="78">
                  <c:v>9.2877945355456223E-2</c:v>
                </c:pt>
                <c:pt idx="79">
                  <c:v>9.4438014222496938E-2</c:v>
                </c:pt>
                <c:pt idx="80">
                  <c:v>9.6011793821184438E-2</c:v>
                </c:pt>
                <c:pt idx="81">
                  <c:v>9.759923314835893E-2</c:v>
                </c:pt>
                <c:pt idx="82">
                  <c:v>9.9200282012977065E-2</c:v>
                </c:pt>
                <c:pt idx="83">
                  <c:v>0.10081489101350952</c:v>
                </c:pt>
                <c:pt idx="84">
                  <c:v>0.10244301151623071</c:v>
                </c:pt>
                <c:pt idx="85">
                  <c:v>0.10408459563435465</c:v>
                </c:pt>
                <c:pt idx="86">
                  <c:v>0.10573959620797523</c:v>
                </c:pt>
                <c:pt idx="87">
                  <c:v>0.10740796678477001</c:v>
                </c:pt>
                <c:pt idx="88">
                  <c:v>0.10908966160143092</c:v>
                </c:pt>
                <c:pt idx="89">
                  <c:v>0.11078463556578665</c:v>
                </c:pt>
                <c:pt idx="90">
                  <c:v>0.11249284423958215</c:v>
                </c:pt>
                <c:pt idx="91">
                  <c:v>0.11421424382188652</c:v>
                </c:pt>
                <c:pt idx="92">
                  <c:v>0.11594879113309688</c:v>
                </c:pt>
                <c:pt idx="93">
                  <c:v>0.11769644359951321</c:v>
                </c:pt>
                <c:pt idx="94">
                  <c:v>0.11945715923845639</c:v>
                </c:pt>
                <c:pt idx="95">
                  <c:v>0.12123089664390495</c:v>
                </c:pt>
                <c:pt idx="96">
                  <c:v>0.12301761497262791</c:v>
                </c:pt>
                <c:pt idx="97">
                  <c:v>0.12481727393079059</c:v>
                </c:pt>
                <c:pt idx="98">
                  <c:v>0.12662983376101331</c:v>
                </c:pt>
                <c:pt idx="99">
                  <c:v>0.12845525522986356</c:v>
                </c:pt>
                <c:pt idx="100">
                  <c:v>0.13029349961576153</c:v>
                </c:pt>
                <c:pt idx="101">
                  <c:v>0.13214452869728296</c:v>
                </c:pt>
                <c:pt idx="102">
                  <c:v>0.13400830474184117</c:v>
                </c:pt>
                <c:pt idx="103">
                  <c:v>0.13588479049473356</c:v>
                </c:pt>
                <c:pt idx="104">
                  <c:v>0.13777394916853627</c:v>
                </c:pt>
                <c:pt idx="105">
                  <c:v>0.13967574443283415</c:v>
                </c:pt>
                <c:pt idx="106">
                  <c:v>0.14159014040427026</c:v>
                </c:pt>
                <c:pt idx="107">
                  <c:v>0.14351710163690476</c:v>
                </c:pt>
                <c:pt idx="108">
                  <c:v>0.14545659311286821</c:v>
                </c:pt>
                <c:pt idx="109">
                  <c:v>0.14740858023329934</c:v>
                </c:pt>
                <c:pt idx="110">
                  <c:v>0.14937302880955536</c:v>
                </c:pt>
                <c:pt idx="111">
                  <c:v>0.15134990505468479</c:v>
                </c:pt>
                <c:pt idx="112">
                  <c:v>0.15333917557515206</c:v>
                </c:pt>
                <c:pt idx="113">
                  <c:v>0.15534080736280403</c:v>
                </c:pt>
                <c:pt idx="114">
                  <c:v>0.15735476778707111</c:v>
                </c:pt>
                <c:pt idx="115">
                  <c:v>0.15938102458739153</c:v>
                </c:pt>
                <c:pt idx="116">
                  <c:v>0.16141954586585258</c:v>
                </c:pt>
                <c:pt idx="117">
                  <c:v>0.16347030008004004</c:v>
                </c:pt>
                <c:pt idx="118">
                  <c:v>0.16553325603608735</c:v>
                </c:pt>
                <c:pt idx="119">
                  <c:v>0.16760838288191951</c:v>
                </c:pt>
                <c:pt idx="120">
                  <c:v>0.16969565010068213</c:v>
                </c:pt>
                <c:pt idx="121">
                  <c:v>0.17179502750435044</c:v>
                </c:pt>
                <c:pt idx="122">
                  <c:v>0.17390648522751287</c:v>
                </c:pt>
                <c:pt idx="123">
                  <c:v>0.17602999372131922</c:v>
                </c:pt>
                <c:pt idx="124">
                  <c:v>0.17816552374759417</c:v>
                </c:pt>
                <c:pt idx="125">
                  <c:v>0.18031304637310253</c:v>
                </c:pt>
                <c:pt idx="126">
                  <c:v>0.18247253296396879</c:v>
                </c:pt>
                <c:pt idx="127">
                  <c:v>0.18464395518023874</c:v>
                </c:pt>
                <c:pt idx="128">
                  <c:v>0.18682728497058523</c:v>
                </c:pt>
                <c:pt idx="129">
                  <c:v>0.18902249456714584</c:v>
                </c:pt>
                <c:pt idx="130">
                  <c:v>0.19122955648049594</c:v>
                </c:pt>
                <c:pt idx="131">
                  <c:v>0.19344844349474538</c:v>
                </c:pt>
                <c:pt idx="132">
                  <c:v>0.19567912866275997</c:v>
                </c:pt>
                <c:pt idx="133">
                  <c:v>0.19792158530150122</c:v>
                </c:pt>
                <c:pt idx="134">
                  <c:v>0.20017578698748179</c:v>
                </c:pt>
                <c:pt idx="135">
                  <c:v>0.20244170755233107</c:v>
                </c:pt>
                <c:pt idx="136">
                  <c:v>0.20471932107846993</c:v>
                </c:pt>
                <c:pt idx="137">
                  <c:v>0.20700860189488943</c:v>
                </c:pt>
                <c:pt idx="138">
                  <c:v>0.20930952457303004</c:v>
                </c:pt>
                <c:pt idx="139">
                  <c:v>0.2116220639227607</c:v>
                </c:pt>
                <c:pt idx="140">
                  <c:v>0.21394619498845063</c:v>
                </c:pt>
                <c:pt idx="141">
                  <c:v>0.21628189304513537</c:v>
                </c:pt>
                <c:pt idx="142">
                  <c:v>0.21862913359477076</c:v>
                </c:pt>
                <c:pt idx="143">
                  <c:v>0.22098789236257449</c:v>
                </c:pt>
                <c:pt idx="144">
                  <c:v>0.22335814529345119</c:v>
                </c:pt>
                <c:pt idx="145">
                  <c:v>0.22573986854849831</c:v>
                </c:pt>
                <c:pt idx="146">
                  <c:v>0.22813303850159364</c:v>
                </c:pt>
                <c:pt idx="147">
                  <c:v>0.23053763173605674</c:v>
                </c:pt>
                <c:pt idx="148">
                  <c:v>0.23295362504138697</c:v>
                </c:pt>
                <c:pt idx="149">
                  <c:v>0.23538099541007285</c:v>
                </c:pt>
                <c:pt idx="150">
                  <c:v>0.23781972003447216</c:v>
                </c:pt>
                <c:pt idx="151">
                  <c:v>0.24026977630376073</c:v>
                </c:pt>
                <c:pt idx="152">
                  <c:v>0.24273114180094754</c:v>
                </c:pt>
                <c:pt idx="153">
                  <c:v>0.24520379429995312</c:v>
                </c:pt>
                <c:pt idx="154">
                  <c:v>0.24768771176275209</c:v>
                </c:pt>
                <c:pt idx="155">
                  <c:v>0.25018287233657721</c:v>
                </c:pt>
                <c:pt idx="156">
                  <c:v>0.25268925435118095</c:v>
                </c:pt>
                <c:pt idx="157">
                  <c:v>0.25520683631615476</c:v>
                </c:pt>
                <c:pt idx="158">
                  <c:v>0.25773559691830744</c:v>
                </c:pt>
                <c:pt idx="159">
                  <c:v>0.2602755150190933</c:v>
                </c:pt>
                <c:pt idx="160">
                  <c:v>0.26282656965209855</c:v>
                </c:pt>
                <c:pt idx="161">
                  <c:v>0.265388740020575</c:v>
                </c:pt>
                <c:pt idx="162">
                  <c:v>0.26796200549502719</c:v>
                </c:pt>
                <c:pt idx="163">
                  <c:v>0.27054634561084562</c:v>
                </c:pt>
                <c:pt idx="164">
                  <c:v>0.27314174006599135</c:v>
                </c:pt>
                <c:pt idx="165">
                  <c:v>0.27574816871872371</c:v>
                </c:pt>
                <c:pt idx="166">
                  <c:v>0.27836561158537448</c:v>
                </c:pt>
                <c:pt idx="167">
                  <c:v>0.28099404883816698</c:v>
                </c:pt>
                <c:pt idx="168">
                  <c:v>0.28363346080307678</c:v>
                </c:pt>
                <c:pt idx="169">
                  <c:v>0.28628382795773505</c:v>
                </c:pt>
                <c:pt idx="170">
                  <c:v>0.28894513092937202</c:v>
                </c:pt>
                <c:pt idx="171">
                  <c:v>0.29161735049280124</c:v>
                </c:pt>
                <c:pt idx="172">
                  <c:v>0.29430046756844169</c:v>
                </c:pt>
                <c:pt idx="173">
                  <c:v>0.29699446322037809</c:v>
                </c:pt>
                <c:pt idx="174">
                  <c:v>0.29969931865445815</c:v>
                </c:pt>
                <c:pt idx="175">
                  <c:v>0.30241501521642528</c:v>
                </c:pt>
                <c:pt idx="176">
                  <c:v>0.30514153439008651</c:v>
                </c:pt>
                <c:pt idx="177">
                  <c:v>0.30787885779551605</c:v>
                </c:pt>
                <c:pt idx="178">
                  <c:v>0.31062696718728933</c:v>
                </c:pt>
                <c:pt idx="179">
                  <c:v>0.3133858444527533</c:v>
                </c:pt>
                <c:pt idx="180">
                  <c:v>0.31615547161032448</c:v>
                </c:pt>
                <c:pt idx="181">
                  <c:v>0.31893583080782117</c:v>
                </c:pt>
                <c:pt idx="182">
                  <c:v>0.32172690432082585</c:v>
                </c:pt>
                <c:pt idx="183">
                  <c:v>0.32452867455107437</c:v>
                </c:pt>
                <c:pt idx="184">
                  <c:v>0.32734112402487803</c:v>
                </c:pt>
                <c:pt idx="185">
                  <c:v>0.3301642353915698</c:v>
                </c:pt>
                <c:pt idx="186">
                  <c:v>0.33299799142198205</c:v>
                </c:pt>
                <c:pt idx="187">
                  <c:v>0.33584237500694825</c:v>
                </c:pt>
                <c:pt idx="188">
                  <c:v>0.33869736915583171</c:v>
                </c:pt>
                <c:pt idx="189">
                  <c:v>0.34156295699508199</c:v>
                </c:pt>
                <c:pt idx="190">
                  <c:v>0.34443912176681396</c:v>
                </c:pt>
                <c:pt idx="191">
                  <c:v>0.34732584682741141</c:v>
                </c:pt>
                <c:pt idx="192">
                  <c:v>0.35022311564615777</c:v>
                </c:pt>
                <c:pt idx="193">
                  <c:v>0.35313091180388667</c:v>
                </c:pt>
                <c:pt idx="194">
                  <c:v>0.35604921899165726</c:v>
                </c:pt>
                <c:pt idx="195">
                  <c:v>0.35897802100945309</c:v>
                </c:pt>
                <c:pt idx="196">
                  <c:v>0.36191730176489811</c:v>
                </c:pt>
                <c:pt idx="197">
                  <c:v>0.36486704527200287</c:v>
                </c:pt>
                <c:pt idx="198">
                  <c:v>0.36782723564992159</c:v>
                </c:pt>
                <c:pt idx="199">
                  <c:v>0.37079785712173774</c:v>
                </c:pt>
              </c:numCache>
            </c:numRef>
          </c:yVal>
          <c:smooth val="0"/>
          <c:extLst>
            <c:ext xmlns:c16="http://schemas.microsoft.com/office/drawing/2014/chart" uri="{C3380CC4-5D6E-409C-BE32-E72D297353CC}">
              <c16:uniqueId val="{00000006-CED8-8548-8BDB-E89EDCAA6827}"/>
            </c:ext>
          </c:extLst>
        </c:ser>
        <c:ser>
          <c:idx val="6"/>
          <c:order val="6"/>
          <c:tx>
            <c:v>Ho et al., 2016</c:v>
          </c:tx>
          <c:spPr>
            <a:ln w="25400" cap="rnd">
              <a:noFill/>
              <a:round/>
            </a:ln>
            <a:effectLst/>
          </c:spPr>
          <c:marker>
            <c:symbol val="circle"/>
            <c:size val="5"/>
            <c:spPr>
              <a:solidFill>
                <a:schemeClr val="accent1">
                  <a:lumMod val="60000"/>
                </a:schemeClr>
              </a:solidFill>
              <a:ln w="9525">
                <a:solidFill>
                  <a:schemeClr val="accent1">
                    <a:lumMod val="60000"/>
                  </a:schemeClr>
                </a:solidFill>
              </a:ln>
              <a:effectLst/>
            </c:spPr>
          </c:marker>
          <c:xVal>
            <c:numRef>
              <c:f>'Piston Velocity'!$A$21:$A$220</c:f>
              <c:numCache>
                <c:formatCode>General</c:formatCode>
                <c:ptCount val="200"/>
                <c:pt idx="0">
                  <c:v>0.1</c:v>
                </c:pt>
                <c:pt idx="1">
                  <c:v>0.2</c:v>
                </c:pt>
                <c:pt idx="2">
                  <c:v>0.3</c:v>
                </c:pt>
                <c:pt idx="3">
                  <c:v>0.4</c:v>
                </c:pt>
                <c:pt idx="4">
                  <c:v>0.5</c:v>
                </c:pt>
                <c:pt idx="5">
                  <c:v>0.6</c:v>
                </c:pt>
                <c:pt idx="6">
                  <c:v>0.7</c:v>
                </c:pt>
                <c:pt idx="7">
                  <c:v>0.8</c:v>
                </c:pt>
                <c:pt idx="8">
                  <c:v>0.9</c:v>
                </c:pt>
                <c:pt idx="9">
                  <c:v>1</c:v>
                </c:pt>
                <c:pt idx="10">
                  <c:v>1.1000000000000001</c:v>
                </c:pt>
                <c:pt idx="11">
                  <c:v>1.2</c:v>
                </c:pt>
                <c:pt idx="12">
                  <c:v>1.3</c:v>
                </c:pt>
                <c:pt idx="13">
                  <c:v>1.4</c:v>
                </c:pt>
                <c:pt idx="14">
                  <c:v>1.5</c:v>
                </c:pt>
                <c:pt idx="15">
                  <c:v>1.6</c:v>
                </c:pt>
                <c:pt idx="16">
                  <c:v>1.7</c:v>
                </c:pt>
                <c:pt idx="17">
                  <c:v>1.8</c:v>
                </c:pt>
                <c:pt idx="18">
                  <c:v>1.9</c:v>
                </c:pt>
                <c:pt idx="19">
                  <c:v>2</c:v>
                </c:pt>
                <c:pt idx="20">
                  <c:v>2.1</c:v>
                </c:pt>
                <c:pt idx="21">
                  <c:v>2.2000000000000002</c:v>
                </c:pt>
                <c:pt idx="22">
                  <c:v>2.2999999999999998</c:v>
                </c:pt>
                <c:pt idx="23">
                  <c:v>2.4</c:v>
                </c:pt>
                <c:pt idx="24">
                  <c:v>2.5</c:v>
                </c:pt>
                <c:pt idx="25">
                  <c:v>2.6</c:v>
                </c:pt>
                <c:pt idx="26">
                  <c:v>2.7</c:v>
                </c:pt>
                <c:pt idx="27">
                  <c:v>2.8</c:v>
                </c:pt>
                <c:pt idx="28">
                  <c:v>2.9</c:v>
                </c:pt>
                <c:pt idx="29">
                  <c:v>3</c:v>
                </c:pt>
                <c:pt idx="30">
                  <c:v>3.1</c:v>
                </c:pt>
                <c:pt idx="31">
                  <c:v>3.2</c:v>
                </c:pt>
                <c:pt idx="32">
                  <c:v>3.3</c:v>
                </c:pt>
                <c:pt idx="33">
                  <c:v>3.4</c:v>
                </c:pt>
                <c:pt idx="34">
                  <c:v>3.5</c:v>
                </c:pt>
                <c:pt idx="35">
                  <c:v>3.6</c:v>
                </c:pt>
                <c:pt idx="36">
                  <c:v>3.7</c:v>
                </c:pt>
                <c:pt idx="37">
                  <c:v>3.8</c:v>
                </c:pt>
                <c:pt idx="38">
                  <c:v>3.9</c:v>
                </c:pt>
                <c:pt idx="39">
                  <c:v>4</c:v>
                </c:pt>
                <c:pt idx="40">
                  <c:v>4.0999999999999996</c:v>
                </c:pt>
                <c:pt idx="41">
                  <c:v>4.2</c:v>
                </c:pt>
                <c:pt idx="42">
                  <c:v>4.3</c:v>
                </c:pt>
                <c:pt idx="43">
                  <c:v>4.4000000000000004</c:v>
                </c:pt>
                <c:pt idx="44">
                  <c:v>4.5</c:v>
                </c:pt>
                <c:pt idx="45">
                  <c:v>4.5999999999999996</c:v>
                </c:pt>
                <c:pt idx="46">
                  <c:v>4.7</c:v>
                </c:pt>
                <c:pt idx="47">
                  <c:v>4.8</c:v>
                </c:pt>
                <c:pt idx="48">
                  <c:v>4.9000000000000004</c:v>
                </c:pt>
                <c:pt idx="49">
                  <c:v>5</c:v>
                </c:pt>
                <c:pt idx="50">
                  <c:v>5.0999999999999996</c:v>
                </c:pt>
                <c:pt idx="51">
                  <c:v>5.2</c:v>
                </c:pt>
                <c:pt idx="52">
                  <c:v>5.3</c:v>
                </c:pt>
                <c:pt idx="53">
                  <c:v>5.4</c:v>
                </c:pt>
                <c:pt idx="54">
                  <c:v>5.5</c:v>
                </c:pt>
                <c:pt idx="55">
                  <c:v>5.6</c:v>
                </c:pt>
                <c:pt idx="56">
                  <c:v>5.7</c:v>
                </c:pt>
                <c:pt idx="57">
                  <c:v>5.8</c:v>
                </c:pt>
                <c:pt idx="58">
                  <c:v>5.9</c:v>
                </c:pt>
                <c:pt idx="59">
                  <c:v>6</c:v>
                </c:pt>
                <c:pt idx="60">
                  <c:v>6.1</c:v>
                </c:pt>
                <c:pt idx="61">
                  <c:v>6.2</c:v>
                </c:pt>
                <c:pt idx="62">
                  <c:v>6.3</c:v>
                </c:pt>
                <c:pt idx="63">
                  <c:v>6.4</c:v>
                </c:pt>
                <c:pt idx="64">
                  <c:v>6.5</c:v>
                </c:pt>
                <c:pt idx="65">
                  <c:v>6.6</c:v>
                </c:pt>
                <c:pt idx="66">
                  <c:v>6.7</c:v>
                </c:pt>
                <c:pt idx="67">
                  <c:v>6.8</c:v>
                </c:pt>
                <c:pt idx="68">
                  <c:v>6.9</c:v>
                </c:pt>
                <c:pt idx="69">
                  <c:v>7</c:v>
                </c:pt>
                <c:pt idx="70">
                  <c:v>7.1</c:v>
                </c:pt>
                <c:pt idx="71">
                  <c:v>7.2</c:v>
                </c:pt>
                <c:pt idx="72">
                  <c:v>7.3</c:v>
                </c:pt>
                <c:pt idx="73">
                  <c:v>7.4</c:v>
                </c:pt>
                <c:pt idx="74">
                  <c:v>7.5</c:v>
                </c:pt>
                <c:pt idx="75">
                  <c:v>7.6</c:v>
                </c:pt>
                <c:pt idx="76">
                  <c:v>7.7</c:v>
                </c:pt>
                <c:pt idx="77">
                  <c:v>7.8</c:v>
                </c:pt>
                <c:pt idx="78">
                  <c:v>7.9</c:v>
                </c:pt>
                <c:pt idx="79">
                  <c:v>8</c:v>
                </c:pt>
                <c:pt idx="80">
                  <c:v>8.1</c:v>
                </c:pt>
                <c:pt idx="81">
                  <c:v>8.1999999999999993</c:v>
                </c:pt>
                <c:pt idx="82">
                  <c:v>8.3000000000000007</c:v>
                </c:pt>
                <c:pt idx="83">
                  <c:v>8.4</c:v>
                </c:pt>
                <c:pt idx="84">
                  <c:v>8.5</c:v>
                </c:pt>
                <c:pt idx="85">
                  <c:v>8.6</c:v>
                </c:pt>
                <c:pt idx="86">
                  <c:v>8.6999999999999993</c:v>
                </c:pt>
                <c:pt idx="87">
                  <c:v>8.8000000000000007</c:v>
                </c:pt>
                <c:pt idx="88">
                  <c:v>8.9</c:v>
                </c:pt>
                <c:pt idx="89">
                  <c:v>9</c:v>
                </c:pt>
                <c:pt idx="90">
                  <c:v>9.1</c:v>
                </c:pt>
                <c:pt idx="91">
                  <c:v>9.1999999999999993</c:v>
                </c:pt>
                <c:pt idx="92">
                  <c:v>9.3000000000000007</c:v>
                </c:pt>
                <c:pt idx="93">
                  <c:v>9.4</c:v>
                </c:pt>
                <c:pt idx="94">
                  <c:v>9.5</c:v>
                </c:pt>
                <c:pt idx="95">
                  <c:v>9.6</c:v>
                </c:pt>
                <c:pt idx="96">
                  <c:v>9.6999999999999993</c:v>
                </c:pt>
                <c:pt idx="97">
                  <c:v>9.8000000000000007</c:v>
                </c:pt>
                <c:pt idx="98">
                  <c:v>9.9</c:v>
                </c:pt>
                <c:pt idx="99">
                  <c:v>10</c:v>
                </c:pt>
                <c:pt idx="100">
                  <c:v>10.1</c:v>
                </c:pt>
                <c:pt idx="101">
                  <c:v>10.199999999999999</c:v>
                </c:pt>
                <c:pt idx="102">
                  <c:v>10.3</c:v>
                </c:pt>
                <c:pt idx="103">
                  <c:v>10.4</c:v>
                </c:pt>
                <c:pt idx="104">
                  <c:v>10.5</c:v>
                </c:pt>
                <c:pt idx="105">
                  <c:v>10.6</c:v>
                </c:pt>
                <c:pt idx="106">
                  <c:v>10.7</c:v>
                </c:pt>
                <c:pt idx="107">
                  <c:v>10.8</c:v>
                </c:pt>
                <c:pt idx="108">
                  <c:v>10.9</c:v>
                </c:pt>
                <c:pt idx="109">
                  <c:v>11</c:v>
                </c:pt>
                <c:pt idx="110">
                  <c:v>11.1</c:v>
                </c:pt>
                <c:pt idx="111">
                  <c:v>11.2</c:v>
                </c:pt>
                <c:pt idx="112">
                  <c:v>11.3</c:v>
                </c:pt>
                <c:pt idx="113">
                  <c:v>11.4</c:v>
                </c:pt>
                <c:pt idx="114">
                  <c:v>11.5</c:v>
                </c:pt>
                <c:pt idx="115">
                  <c:v>11.6</c:v>
                </c:pt>
                <c:pt idx="116">
                  <c:v>11.7</c:v>
                </c:pt>
                <c:pt idx="117">
                  <c:v>11.8</c:v>
                </c:pt>
                <c:pt idx="118">
                  <c:v>11.9</c:v>
                </c:pt>
                <c:pt idx="119">
                  <c:v>12</c:v>
                </c:pt>
                <c:pt idx="120">
                  <c:v>12.1</c:v>
                </c:pt>
                <c:pt idx="121">
                  <c:v>12.2</c:v>
                </c:pt>
                <c:pt idx="122">
                  <c:v>12.3</c:v>
                </c:pt>
                <c:pt idx="123">
                  <c:v>12.4</c:v>
                </c:pt>
                <c:pt idx="124">
                  <c:v>12.5</c:v>
                </c:pt>
                <c:pt idx="125">
                  <c:v>12.6</c:v>
                </c:pt>
                <c:pt idx="126">
                  <c:v>12.7</c:v>
                </c:pt>
                <c:pt idx="127">
                  <c:v>12.8</c:v>
                </c:pt>
                <c:pt idx="128">
                  <c:v>12.9</c:v>
                </c:pt>
                <c:pt idx="129">
                  <c:v>13</c:v>
                </c:pt>
                <c:pt idx="130">
                  <c:v>13.1</c:v>
                </c:pt>
                <c:pt idx="131">
                  <c:v>13.2</c:v>
                </c:pt>
                <c:pt idx="132">
                  <c:v>13.3</c:v>
                </c:pt>
                <c:pt idx="133">
                  <c:v>13.4</c:v>
                </c:pt>
                <c:pt idx="134">
                  <c:v>13.5</c:v>
                </c:pt>
                <c:pt idx="135">
                  <c:v>13.6</c:v>
                </c:pt>
                <c:pt idx="136">
                  <c:v>13.7</c:v>
                </c:pt>
                <c:pt idx="137">
                  <c:v>13.8</c:v>
                </c:pt>
                <c:pt idx="138">
                  <c:v>13.9</c:v>
                </c:pt>
                <c:pt idx="139">
                  <c:v>14</c:v>
                </c:pt>
                <c:pt idx="140">
                  <c:v>14.1</c:v>
                </c:pt>
                <c:pt idx="141">
                  <c:v>14.2</c:v>
                </c:pt>
                <c:pt idx="142">
                  <c:v>14.3</c:v>
                </c:pt>
                <c:pt idx="143">
                  <c:v>14.4</c:v>
                </c:pt>
                <c:pt idx="144">
                  <c:v>14.5</c:v>
                </c:pt>
                <c:pt idx="145">
                  <c:v>14.6</c:v>
                </c:pt>
                <c:pt idx="146">
                  <c:v>14.7</c:v>
                </c:pt>
                <c:pt idx="147">
                  <c:v>14.8</c:v>
                </c:pt>
                <c:pt idx="148">
                  <c:v>14.9</c:v>
                </c:pt>
                <c:pt idx="149">
                  <c:v>15</c:v>
                </c:pt>
                <c:pt idx="150">
                  <c:v>15.1</c:v>
                </c:pt>
                <c:pt idx="151">
                  <c:v>15.2</c:v>
                </c:pt>
                <c:pt idx="152">
                  <c:v>15.3</c:v>
                </c:pt>
                <c:pt idx="153">
                  <c:v>15.4</c:v>
                </c:pt>
                <c:pt idx="154">
                  <c:v>15.5</c:v>
                </c:pt>
                <c:pt idx="155">
                  <c:v>15.6</c:v>
                </c:pt>
                <c:pt idx="156">
                  <c:v>15.7</c:v>
                </c:pt>
                <c:pt idx="157">
                  <c:v>15.8</c:v>
                </c:pt>
                <c:pt idx="158">
                  <c:v>15.9</c:v>
                </c:pt>
                <c:pt idx="159">
                  <c:v>16</c:v>
                </c:pt>
                <c:pt idx="160">
                  <c:v>16.100000000000001</c:v>
                </c:pt>
                <c:pt idx="161">
                  <c:v>16.2</c:v>
                </c:pt>
                <c:pt idx="162">
                  <c:v>16.3</c:v>
                </c:pt>
                <c:pt idx="163">
                  <c:v>16.399999999999999</c:v>
                </c:pt>
                <c:pt idx="164">
                  <c:v>16.5</c:v>
                </c:pt>
                <c:pt idx="165">
                  <c:v>16.600000000000001</c:v>
                </c:pt>
                <c:pt idx="166">
                  <c:v>16.7</c:v>
                </c:pt>
                <c:pt idx="167">
                  <c:v>16.8</c:v>
                </c:pt>
                <c:pt idx="168">
                  <c:v>16.899999999999999</c:v>
                </c:pt>
                <c:pt idx="169">
                  <c:v>17</c:v>
                </c:pt>
                <c:pt idx="170">
                  <c:v>17.100000000000001</c:v>
                </c:pt>
                <c:pt idx="171">
                  <c:v>17.2</c:v>
                </c:pt>
                <c:pt idx="172">
                  <c:v>17.3</c:v>
                </c:pt>
                <c:pt idx="173">
                  <c:v>17.399999999999999</c:v>
                </c:pt>
                <c:pt idx="174">
                  <c:v>17.5</c:v>
                </c:pt>
                <c:pt idx="175">
                  <c:v>17.600000000000001</c:v>
                </c:pt>
                <c:pt idx="176">
                  <c:v>17.7</c:v>
                </c:pt>
                <c:pt idx="177">
                  <c:v>17.8</c:v>
                </c:pt>
                <c:pt idx="178">
                  <c:v>17.899999999999999</c:v>
                </c:pt>
                <c:pt idx="179">
                  <c:v>18</c:v>
                </c:pt>
                <c:pt idx="180">
                  <c:v>18.100000000000001</c:v>
                </c:pt>
                <c:pt idx="181">
                  <c:v>18.2</c:v>
                </c:pt>
                <c:pt idx="182">
                  <c:v>18.3</c:v>
                </c:pt>
                <c:pt idx="183">
                  <c:v>18.399999999999999</c:v>
                </c:pt>
                <c:pt idx="184">
                  <c:v>18.5</c:v>
                </c:pt>
                <c:pt idx="185">
                  <c:v>18.600000000000001</c:v>
                </c:pt>
                <c:pt idx="186">
                  <c:v>18.7</c:v>
                </c:pt>
                <c:pt idx="187">
                  <c:v>18.8</c:v>
                </c:pt>
                <c:pt idx="188">
                  <c:v>18.899999999999999</c:v>
                </c:pt>
                <c:pt idx="189">
                  <c:v>19</c:v>
                </c:pt>
                <c:pt idx="190">
                  <c:v>19.100000000000001</c:v>
                </c:pt>
                <c:pt idx="191">
                  <c:v>19.2</c:v>
                </c:pt>
                <c:pt idx="192">
                  <c:v>19.3</c:v>
                </c:pt>
                <c:pt idx="193">
                  <c:v>19.399999999999999</c:v>
                </c:pt>
                <c:pt idx="194">
                  <c:v>19.5</c:v>
                </c:pt>
                <c:pt idx="195">
                  <c:v>19.600000000000001</c:v>
                </c:pt>
                <c:pt idx="196">
                  <c:v>19.7</c:v>
                </c:pt>
                <c:pt idx="197">
                  <c:v>19.8</c:v>
                </c:pt>
                <c:pt idx="198">
                  <c:v>19.899999999999999</c:v>
                </c:pt>
                <c:pt idx="199">
                  <c:v>20</c:v>
                </c:pt>
              </c:numCache>
            </c:numRef>
          </c:xVal>
          <c:yVal>
            <c:numRef>
              <c:f>'Piston Velocity'!$I$21:$I$220</c:f>
              <c:numCache>
                <c:formatCode>General</c:formatCode>
                <c:ptCount val="200"/>
                <c:pt idx="0">
                  <c:v>4.53992851261368E-2</c:v>
                </c:pt>
                <c:pt idx="1">
                  <c:v>4.5479085126136812E-2</c:v>
                </c:pt>
                <c:pt idx="2">
                  <c:v>4.5612085126136799E-2</c:v>
                </c:pt>
                <c:pt idx="3">
                  <c:v>4.5798285126136803E-2</c:v>
                </c:pt>
                <c:pt idx="4">
                  <c:v>4.6037685126136797E-2</c:v>
                </c:pt>
                <c:pt idx="5">
                  <c:v>4.6330285126136808E-2</c:v>
                </c:pt>
                <c:pt idx="6">
                  <c:v>4.6676085126136808E-2</c:v>
                </c:pt>
                <c:pt idx="7">
                  <c:v>4.7075085126136805E-2</c:v>
                </c:pt>
                <c:pt idx="8">
                  <c:v>4.7527285126136805E-2</c:v>
                </c:pt>
                <c:pt idx="9">
                  <c:v>4.8032685126136808E-2</c:v>
                </c:pt>
                <c:pt idx="10">
                  <c:v>4.8591285126136807E-2</c:v>
                </c:pt>
                <c:pt idx="11">
                  <c:v>4.920308512613681E-2</c:v>
                </c:pt>
                <c:pt idx="12">
                  <c:v>4.9868085126136802E-2</c:v>
                </c:pt>
                <c:pt idx="13">
                  <c:v>5.0586285126136804E-2</c:v>
                </c:pt>
                <c:pt idx="14">
                  <c:v>5.1357685126136803E-2</c:v>
                </c:pt>
                <c:pt idx="15">
                  <c:v>5.2182285126136804E-2</c:v>
                </c:pt>
                <c:pt idx="16">
                  <c:v>5.3060085126136809E-2</c:v>
                </c:pt>
                <c:pt idx="17">
                  <c:v>5.3991085126136804E-2</c:v>
                </c:pt>
                <c:pt idx="18">
                  <c:v>5.4975285126136801E-2</c:v>
                </c:pt>
                <c:pt idx="19">
                  <c:v>5.6012685126136802E-2</c:v>
                </c:pt>
                <c:pt idx="20">
                  <c:v>5.7103285126136799E-2</c:v>
                </c:pt>
                <c:pt idx="21">
                  <c:v>5.8247085126136806E-2</c:v>
                </c:pt>
                <c:pt idx="22">
                  <c:v>5.9444085126136803E-2</c:v>
                </c:pt>
                <c:pt idx="23">
                  <c:v>6.069428512613681E-2</c:v>
                </c:pt>
                <c:pt idx="24">
                  <c:v>6.1997685126136799E-2</c:v>
                </c:pt>
                <c:pt idx="25">
                  <c:v>6.3354285126136806E-2</c:v>
                </c:pt>
                <c:pt idx="26">
                  <c:v>6.4764085126136808E-2</c:v>
                </c:pt>
                <c:pt idx="27">
                  <c:v>6.62270851261368E-2</c:v>
                </c:pt>
                <c:pt idx="28">
                  <c:v>6.7743285126136796E-2</c:v>
                </c:pt>
                <c:pt idx="29">
                  <c:v>6.9312685126136808E-2</c:v>
                </c:pt>
                <c:pt idx="30">
                  <c:v>7.093528512613681E-2</c:v>
                </c:pt>
                <c:pt idx="31">
                  <c:v>7.2611085126136815E-2</c:v>
                </c:pt>
                <c:pt idx="32">
                  <c:v>7.4340085126136796E-2</c:v>
                </c:pt>
                <c:pt idx="33">
                  <c:v>7.6122285126136807E-2</c:v>
                </c:pt>
                <c:pt idx="34">
                  <c:v>7.7957685126136808E-2</c:v>
                </c:pt>
                <c:pt idx="35">
                  <c:v>7.9846285126136798E-2</c:v>
                </c:pt>
                <c:pt idx="36">
                  <c:v>8.178808512613682E-2</c:v>
                </c:pt>
                <c:pt idx="37">
                  <c:v>8.3783085126136803E-2</c:v>
                </c:pt>
                <c:pt idx="38">
                  <c:v>8.5831285126136803E-2</c:v>
                </c:pt>
                <c:pt idx="39">
                  <c:v>8.7932685126136806E-2</c:v>
                </c:pt>
                <c:pt idx="40">
                  <c:v>9.0087285126136785E-2</c:v>
                </c:pt>
                <c:pt idx="41">
                  <c:v>9.2295085126136808E-2</c:v>
                </c:pt>
                <c:pt idx="42">
                  <c:v>9.4556085126136794E-2</c:v>
                </c:pt>
                <c:pt idx="43">
                  <c:v>9.6870285126136824E-2</c:v>
                </c:pt>
                <c:pt idx="44">
                  <c:v>9.9237685126136801E-2</c:v>
                </c:pt>
                <c:pt idx="45">
                  <c:v>0.10165828512613678</c:v>
                </c:pt>
                <c:pt idx="46">
                  <c:v>0.10413208512613682</c:v>
                </c:pt>
                <c:pt idx="47">
                  <c:v>0.1066590851261368</c:v>
                </c:pt>
                <c:pt idx="48">
                  <c:v>0.10923928512613681</c:v>
                </c:pt>
                <c:pt idx="49">
                  <c:v>0.11187268512613681</c:v>
                </c:pt>
                <c:pt idx="50">
                  <c:v>0.11455928512613682</c:v>
                </c:pt>
                <c:pt idx="51">
                  <c:v>0.11729908512613681</c:v>
                </c:pt>
                <c:pt idx="52">
                  <c:v>0.12009208512613681</c:v>
                </c:pt>
                <c:pt idx="53">
                  <c:v>0.12293828512613683</c:v>
                </c:pt>
                <c:pt idx="54">
                  <c:v>0.1258376851261368</c:v>
                </c:pt>
                <c:pt idx="55">
                  <c:v>0.1287902851261368</c:v>
                </c:pt>
                <c:pt idx="56">
                  <c:v>0.1317960851261368</c:v>
                </c:pt>
                <c:pt idx="57">
                  <c:v>0.13485508512613681</c:v>
                </c:pt>
                <c:pt idx="58">
                  <c:v>0.13796728512613682</c:v>
                </c:pt>
                <c:pt idx="59">
                  <c:v>0.1411326851261368</c:v>
                </c:pt>
                <c:pt idx="60">
                  <c:v>0.14435128512613679</c:v>
                </c:pt>
                <c:pt idx="61">
                  <c:v>0.14762308512613681</c:v>
                </c:pt>
                <c:pt idx="62">
                  <c:v>0.15094808512613681</c:v>
                </c:pt>
                <c:pt idx="63">
                  <c:v>0.15432628512613683</c:v>
                </c:pt>
                <c:pt idx="64">
                  <c:v>0.1577576851261368</c:v>
                </c:pt>
                <c:pt idx="65">
                  <c:v>0.16124228512613681</c:v>
                </c:pt>
                <c:pt idx="66">
                  <c:v>0.16478008512613682</c:v>
                </c:pt>
                <c:pt idx="67">
                  <c:v>0.16837108512613683</c:v>
                </c:pt>
                <c:pt idx="68">
                  <c:v>0.17201528512613684</c:v>
                </c:pt>
                <c:pt idx="69">
                  <c:v>0.1757126851261368</c:v>
                </c:pt>
                <c:pt idx="70">
                  <c:v>0.17946328512613682</c:v>
                </c:pt>
                <c:pt idx="71">
                  <c:v>0.18326708512613682</c:v>
                </c:pt>
                <c:pt idx="72">
                  <c:v>0.18712408512613682</c:v>
                </c:pt>
                <c:pt idx="73">
                  <c:v>0.19103428512613682</c:v>
                </c:pt>
                <c:pt idx="74">
                  <c:v>0.1949976851261368</c:v>
                </c:pt>
                <c:pt idx="75">
                  <c:v>0.19901428512613681</c:v>
                </c:pt>
                <c:pt idx="76">
                  <c:v>0.20308408512613682</c:v>
                </c:pt>
                <c:pt idx="77">
                  <c:v>0.20720708512613684</c:v>
                </c:pt>
                <c:pt idx="78">
                  <c:v>0.21138328512613683</c:v>
                </c:pt>
                <c:pt idx="79">
                  <c:v>0.21561268512613679</c:v>
                </c:pt>
                <c:pt idx="80">
                  <c:v>0.21989528512613682</c:v>
                </c:pt>
                <c:pt idx="81">
                  <c:v>0.22423108512613679</c:v>
                </c:pt>
                <c:pt idx="82">
                  <c:v>0.22862008512613685</c:v>
                </c:pt>
                <c:pt idx="83">
                  <c:v>0.23306228512613678</c:v>
                </c:pt>
                <c:pt idx="84">
                  <c:v>0.23755768512613684</c:v>
                </c:pt>
                <c:pt idx="85">
                  <c:v>0.2421062851261368</c:v>
                </c:pt>
                <c:pt idx="86">
                  <c:v>0.24670808512613676</c:v>
                </c:pt>
                <c:pt idx="87">
                  <c:v>0.25136308512613686</c:v>
                </c:pt>
                <c:pt idx="88">
                  <c:v>0.25607128512613686</c:v>
                </c:pt>
                <c:pt idx="89">
                  <c:v>0.26083268512613678</c:v>
                </c:pt>
                <c:pt idx="90">
                  <c:v>0.26564728512613678</c:v>
                </c:pt>
                <c:pt idx="91">
                  <c:v>0.27051508512613681</c:v>
                </c:pt>
                <c:pt idx="92">
                  <c:v>0.27543608512613688</c:v>
                </c:pt>
                <c:pt idx="93">
                  <c:v>0.28041028512613686</c:v>
                </c:pt>
                <c:pt idx="94">
                  <c:v>0.28543768512613682</c:v>
                </c:pt>
                <c:pt idx="95">
                  <c:v>0.29051828512613681</c:v>
                </c:pt>
                <c:pt idx="96">
                  <c:v>0.29565208512613678</c:v>
                </c:pt>
                <c:pt idx="97">
                  <c:v>0.30083908512613688</c:v>
                </c:pt>
                <c:pt idx="98">
                  <c:v>0.3060792851261368</c:v>
                </c:pt>
                <c:pt idx="99">
                  <c:v>0.31137268512613681</c:v>
                </c:pt>
                <c:pt idx="100">
                  <c:v>0.31671928512613684</c:v>
                </c:pt>
                <c:pt idx="101">
                  <c:v>0.32211908512613685</c:v>
                </c:pt>
                <c:pt idx="102">
                  <c:v>0.32757208512613689</c:v>
                </c:pt>
                <c:pt idx="103">
                  <c:v>0.3330782851261368</c:v>
                </c:pt>
                <c:pt idx="104">
                  <c:v>0.33863768512613679</c:v>
                </c:pt>
                <c:pt idx="105">
                  <c:v>0.34425028512613681</c:v>
                </c:pt>
                <c:pt idx="106">
                  <c:v>0.34991608512613676</c:v>
                </c:pt>
                <c:pt idx="107">
                  <c:v>0.3556350851261369</c:v>
                </c:pt>
                <c:pt idx="108">
                  <c:v>0.36140728512613685</c:v>
                </c:pt>
                <c:pt idx="109">
                  <c:v>0.36723268512613677</c:v>
                </c:pt>
                <c:pt idx="110">
                  <c:v>0.37311128512613678</c:v>
                </c:pt>
                <c:pt idx="111">
                  <c:v>0.37904308512613677</c:v>
                </c:pt>
                <c:pt idx="112">
                  <c:v>0.38502808512613684</c:v>
                </c:pt>
                <c:pt idx="113">
                  <c:v>0.39106628512613684</c:v>
                </c:pt>
                <c:pt idx="114">
                  <c:v>0.39715768512613681</c:v>
                </c:pt>
                <c:pt idx="115">
                  <c:v>0.40330228512613681</c:v>
                </c:pt>
                <c:pt idx="116">
                  <c:v>0.40950008512613678</c:v>
                </c:pt>
                <c:pt idx="117">
                  <c:v>0.41575108512613679</c:v>
                </c:pt>
                <c:pt idx="118">
                  <c:v>0.42205528512613683</c:v>
                </c:pt>
                <c:pt idx="119">
                  <c:v>0.42841268512613678</c:v>
                </c:pt>
                <c:pt idx="120">
                  <c:v>0.43482328512613677</c:v>
                </c:pt>
                <c:pt idx="121">
                  <c:v>0.44128708512613679</c:v>
                </c:pt>
                <c:pt idx="122">
                  <c:v>0.4478040851261369</c:v>
                </c:pt>
                <c:pt idx="123">
                  <c:v>0.45437428512613687</c:v>
                </c:pt>
                <c:pt idx="124">
                  <c:v>0.46099768512613681</c:v>
                </c:pt>
                <c:pt idx="125">
                  <c:v>0.46767428512613679</c:v>
                </c:pt>
                <c:pt idx="126">
                  <c:v>0.4744040851261368</c:v>
                </c:pt>
                <c:pt idx="127">
                  <c:v>0.48118708512613684</c:v>
                </c:pt>
                <c:pt idx="128">
                  <c:v>0.4880232851261368</c:v>
                </c:pt>
                <c:pt idx="129">
                  <c:v>0.49491268512613679</c:v>
                </c:pt>
                <c:pt idx="130">
                  <c:v>0.50185528512613675</c:v>
                </c:pt>
                <c:pt idx="131">
                  <c:v>0.50885108512613675</c:v>
                </c:pt>
                <c:pt idx="132">
                  <c:v>0.51590008512613683</c:v>
                </c:pt>
                <c:pt idx="133">
                  <c:v>0.52300228512613678</c:v>
                </c:pt>
                <c:pt idx="134">
                  <c:v>0.53015768512613681</c:v>
                </c:pt>
                <c:pt idx="135">
                  <c:v>0.53736628512613682</c:v>
                </c:pt>
                <c:pt idx="136">
                  <c:v>0.54462808512613681</c:v>
                </c:pt>
                <c:pt idx="137">
                  <c:v>0.55194308512613688</c:v>
                </c:pt>
                <c:pt idx="138">
                  <c:v>0.55931128512613681</c:v>
                </c:pt>
                <c:pt idx="139">
                  <c:v>0.56673268512613684</c:v>
                </c:pt>
                <c:pt idx="140">
                  <c:v>0.57420728512613683</c:v>
                </c:pt>
                <c:pt idx="141">
                  <c:v>0.58173508512613681</c:v>
                </c:pt>
                <c:pt idx="142">
                  <c:v>0.58931608512613687</c:v>
                </c:pt>
                <c:pt idx="143">
                  <c:v>0.59695028512613679</c:v>
                </c:pt>
                <c:pt idx="144">
                  <c:v>0.6046376851261368</c:v>
                </c:pt>
                <c:pt idx="145">
                  <c:v>0.61237828512613679</c:v>
                </c:pt>
                <c:pt idx="146">
                  <c:v>0.62017208512613675</c:v>
                </c:pt>
                <c:pt idx="147">
                  <c:v>0.62801908512613691</c:v>
                </c:pt>
                <c:pt idx="148">
                  <c:v>0.63591928512613682</c:v>
                </c:pt>
                <c:pt idx="149">
                  <c:v>0.64387268512613682</c:v>
                </c:pt>
                <c:pt idx="150">
                  <c:v>0.6518792851261368</c:v>
                </c:pt>
                <c:pt idx="151">
                  <c:v>0.65993908512613686</c:v>
                </c:pt>
                <c:pt idx="152">
                  <c:v>0.6680520851261369</c:v>
                </c:pt>
                <c:pt idx="153">
                  <c:v>0.67621828512613691</c:v>
                </c:pt>
                <c:pt idx="154">
                  <c:v>0.6844376851261369</c:v>
                </c:pt>
                <c:pt idx="155">
                  <c:v>0.69271028512613686</c:v>
                </c:pt>
                <c:pt idx="156">
                  <c:v>0.7010360851261368</c:v>
                </c:pt>
                <c:pt idx="157">
                  <c:v>0.70941508512613682</c:v>
                </c:pt>
                <c:pt idx="158">
                  <c:v>0.71784728512613682</c:v>
                </c:pt>
                <c:pt idx="159">
                  <c:v>0.7263326851261368</c:v>
                </c:pt>
                <c:pt idx="160">
                  <c:v>0.73487128512613697</c:v>
                </c:pt>
                <c:pt idx="161">
                  <c:v>0.7434630851261369</c:v>
                </c:pt>
                <c:pt idx="162">
                  <c:v>0.7521080851261368</c:v>
                </c:pt>
                <c:pt idx="163">
                  <c:v>0.76080628512613668</c:v>
                </c:pt>
                <c:pt idx="164">
                  <c:v>0.76955768512613687</c:v>
                </c:pt>
                <c:pt idx="165">
                  <c:v>0.77836228512613703</c:v>
                </c:pt>
                <c:pt idx="166">
                  <c:v>0.78722008512613684</c:v>
                </c:pt>
                <c:pt idx="167">
                  <c:v>0.79613108512613673</c:v>
                </c:pt>
                <c:pt idx="168">
                  <c:v>0.80509528512613671</c:v>
                </c:pt>
                <c:pt idx="169">
                  <c:v>0.81411268512613688</c:v>
                </c:pt>
                <c:pt idx="170">
                  <c:v>0.82318328512613692</c:v>
                </c:pt>
                <c:pt idx="171">
                  <c:v>0.83230708512613671</c:v>
                </c:pt>
                <c:pt idx="172">
                  <c:v>0.84148408512613682</c:v>
                </c:pt>
                <c:pt idx="173">
                  <c:v>0.85071428512613667</c:v>
                </c:pt>
                <c:pt idx="174">
                  <c:v>0.85999768512613683</c:v>
                </c:pt>
                <c:pt idx="175">
                  <c:v>0.86933428512613697</c:v>
                </c:pt>
                <c:pt idx="176">
                  <c:v>0.87872408512613676</c:v>
                </c:pt>
                <c:pt idx="177">
                  <c:v>0.88816708512613685</c:v>
                </c:pt>
                <c:pt idx="178">
                  <c:v>0.89766328512613669</c:v>
                </c:pt>
                <c:pt idx="179">
                  <c:v>0.90721268512613673</c:v>
                </c:pt>
                <c:pt idx="180">
                  <c:v>0.91681528512613697</c:v>
                </c:pt>
                <c:pt idx="181">
                  <c:v>0.92647108512613674</c:v>
                </c:pt>
                <c:pt idx="182">
                  <c:v>0.93618008512613704</c:v>
                </c:pt>
                <c:pt idx="183">
                  <c:v>0.94594228512613665</c:v>
                </c:pt>
                <c:pt idx="184">
                  <c:v>0.95575768512613679</c:v>
                </c:pt>
                <c:pt idx="185">
                  <c:v>0.96562628512613702</c:v>
                </c:pt>
                <c:pt idx="186">
                  <c:v>0.97554808512613689</c:v>
                </c:pt>
                <c:pt idx="187">
                  <c:v>0.98552308512613696</c:v>
                </c:pt>
                <c:pt idx="188">
                  <c:v>0.99555128512613666</c:v>
                </c:pt>
                <c:pt idx="189">
                  <c:v>1.0056326851261368</c:v>
                </c:pt>
                <c:pt idx="190">
                  <c:v>1.015767285126137</c:v>
                </c:pt>
                <c:pt idx="191">
                  <c:v>1.0259550851261368</c:v>
                </c:pt>
                <c:pt idx="192">
                  <c:v>1.0361960851261367</c:v>
                </c:pt>
                <c:pt idx="193">
                  <c:v>1.0464902851261366</c:v>
                </c:pt>
                <c:pt idx="194">
                  <c:v>1.0568376851261367</c:v>
                </c:pt>
                <c:pt idx="195">
                  <c:v>1.0672382851261371</c:v>
                </c:pt>
                <c:pt idx="196">
                  <c:v>1.0776920851261367</c:v>
                </c:pt>
                <c:pt idx="197">
                  <c:v>1.0881990851261369</c:v>
                </c:pt>
                <c:pt idx="198">
                  <c:v>1.0987592851261367</c:v>
                </c:pt>
                <c:pt idx="199">
                  <c:v>1.1093726851261367</c:v>
                </c:pt>
              </c:numCache>
            </c:numRef>
          </c:yVal>
          <c:smooth val="0"/>
          <c:extLst>
            <c:ext xmlns:c16="http://schemas.microsoft.com/office/drawing/2014/chart" uri="{C3380CC4-5D6E-409C-BE32-E72D297353CC}">
              <c16:uniqueId val="{00000007-CED8-8548-8BDB-E89EDCAA6827}"/>
            </c:ext>
          </c:extLst>
        </c:ser>
        <c:dLbls>
          <c:showLegendKey val="0"/>
          <c:showVal val="0"/>
          <c:showCatName val="0"/>
          <c:showSerName val="0"/>
          <c:showPercent val="0"/>
          <c:showBubbleSize val="0"/>
        </c:dLbls>
        <c:axId val="114185520"/>
        <c:axId val="111436528"/>
      </c:scatterChart>
      <c:valAx>
        <c:axId val="114185520"/>
        <c:scaling>
          <c:orientation val="minMax"/>
        </c:scaling>
        <c:delete val="0"/>
        <c:axPos val="b"/>
        <c:title>
          <c:tx>
            <c:rich>
              <a:bodyPr rot="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a:t>Wind Speed (m/s)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cross"/>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11436528"/>
        <c:crosses val="autoZero"/>
        <c:crossBetween val="midCat"/>
      </c:valAx>
      <c:valAx>
        <c:axId val="111436528"/>
        <c:scaling>
          <c:orientation val="minMax"/>
        </c:scaling>
        <c:delete val="0"/>
        <c:axPos val="l"/>
        <c:title>
          <c:tx>
            <c:rich>
              <a:bodyPr rot="-540000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a:t>Piston</a:t>
                </a:r>
                <a:r>
                  <a:rPr lang="en-US" baseline="0"/>
                  <a:t> Velocity (k600, m/hr)</a:t>
                </a:r>
                <a:endParaRPr lang="en-US"/>
              </a:p>
            </c:rich>
          </c:tx>
          <c:overlay val="0"/>
          <c:spPr>
            <a:noFill/>
            <a:ln>
              <a:noFill/>
            </a:ln>
            <a:effectLst/>
          </c:spPr>
          <c:txPr>
            <a:bodyPr rot="-540000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14185520"/>
        <c:crosses val="autoZero"/>
        <c:crossBetween val="midCat"/>
      </c:valAx>
      <c:spPr>
        <a:noFill/>
        <a:ln>
          <a:solidFill>
            <a:schemeClr val="tx1"/>
          </a:solidFill>
        </a:ln>
        <a:effectLst/>
      </c:spPr>
    </c:plotArea>
    <c:legend>
      <c:legendPos val="t"/>
      <c:layout>
        <c:manualLayout>
          <c:xMode val="edge"/>
          <c:yMode val="edge"/>
          <c:x val="0.14137678623505393"/>
          <c:y val="0.1464407560259379"/>
          <c:w val="0.30798716827063283"/>
          <c:h val="0.2777997026723798"/>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r>
              <a:rPr lang="en-US"/>
              <a:t>Gas Exchange Piston Velocity vs Wind Speed </a:t>
            </a:r>
          </a:p>
        </c:rich>
      </c:tx>
      <c:overlay val="0"/>
      <c:spPr>
        <a:noFill/>
        <a:ln>
          <a:noFill/>
        </a:ln>
        <a:effectLst/>
      </c:spPr>
      <c:txPr>
        <a:bodyPr rot="0" spcFirstLastPara="1" vertOverflow="ellipsis" vert="horz" wrap="square" anchor="ctr" anchorCtr="1"/>
        <a:lstStyle/>
        <a:p>
          <a:pPr>
            <a:defRPr sz="192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12376538349372995"/>
          <c:y val="0.12603289046782862"/>
          <c:w val="0.84104943132108489"/>
          <c:h val="0.67399331520817496"/>
        </c:manualLayout>
      </c:layout>
      <c:scatterChart>
        <c:scatterStyle val="lineMarker"/>
        <c:varyColors val="0"/>
        <c:ser>
          <c:idx val="0"/>
          <c:order val="0"/>
          <c:tx>
            <c:v>Wanninkhof 1992 Regression</c:v>
          </c:tx>
          <c:spPr>
            <a:ln w="19050" cap="rnd">
              <a:noFill/>
              <a:round/>
            </a:ln>
            <a:effectLst/>
          </c:spPr>
          <c:marker>
            <c:symbol val="circle"/>
            <c:size val="5"/>
            <c:spPr>
              <a:solidFill>
                <a:schemeClr val="accent1"/>
              </a:solidFill>
              <a:ln w="9525">
                <a:solidFill>
                  <a:schemeClr val="accent1"/>
                </a:solidFill>
              </a:ln>
              <a:effectLst/>
            </c:spPr>
          </c:marker>
          <c:xVal>
            <c:numRef>
              <c:f>'Piston Velocity'!$A$21:$A$220</c:f>
              <c:numCache>
                <c:formatCode>General</c:formatCode>
                <c:ptCount val="200"/>
                <c:pt idx="0">
                  <c:v>0.1</c:v>
                </c:pt>
                <c:pt idx="1">
                  <c:v>0.2</c:v>
                </c:pt>
                <c:pt idx="2">
                  <c:v>0.3</c:v>
                </c:pt>
                <c:pt idx="3">
                  <c:v>0.4</c:v>
                </c:pt>
                <c:pt idx="4">
                  <c:v>0.5</c:v>
                </c:pt>
                <c:pt idx="5">
                  <c:v>0.6</c:v>
                </c:pt>
                <c:pt idx="6">
                  <c:v>0.7</c:v>
                </c:pt>
                <c:pt idx="7">
                  <c:v>0.8</c:v>
                </c:pt>
                <c:pt idx="8">
                  <c:v>0.9</c:v>
                </c:pt>
                <c:pt idx="9">
                  <c:v>1</c:v>
                </c:pt>
                <c:pt idx="10">
                  <c:v>1.1000000000000001</c:v>
                </c:pt>
                <c:pt idx="11">
                  <c:v>1.2</c:v>
                </c:pt>
                <c:pt idx="12">
                  <c:v>1.3</c:v>
                </c:pt>
                <c:pt idx="13">
                  <c:v>1.4</c:v>
                </c:pt>
                <c:pt idx="14">
                  <c:v>1.5</c:v>
                </c:pt>
                <c:pt idx="15">
                  <c:v>1.6</c:v>
                </c:pt>
                <c:pt idx="16">
                  <c:v>1.7</c:v>
                </c:pt>
                <c:pt idx="17">
                  <c:v>1.8</c:v>
                </c:pt>
                <c:pt idx="18">
                  <c:v>1.9</c:v>
                </c:pt>
                <c:pt idx="19">
                  <c:v>2</c:v>
                </c:pt>
                <c:pt idx="20">
                  <c:v>2.1</c:v>
                </c:pt>
                <c:pt idx="21">
                  <c:v>2.2000000000000002</c:v>
                </c:pt>
                <c:pt idx="22">
                  <c:v>2.2999999999999998</c:v>
                </c:pt>
                <c:pt idx="23">
                  <c:v>2.4</c:v>
                </c:pt>
                <c:pt idx="24">
                  <c:v>2.5</c:v>
                </c:pt>
                <c:pt idx="25">
                  <c:v>2.6</c:v>
                </c:pt>
                <c:pt idx="26">
                  <c:v>2.7</c:v>
                </c:pt>
                <c:pt idx="27">
                  <c:v>2.8</c:v>
                </c:pt>
                <c:pt idx="28">
                  <c:v>2.9</c:v>
                </c:pt>
                <c:pt idx="29">
                  <c:v>3</c:v>
                </c:pt>
                <c:pt idx="30">
                  <c:v>3.1</c:v>
                </c:pt>
                <c:pt idx="31">
                  <c:v>3.2</c:v>
                </c:pt>
                <c:pt idx="32">
                  <c:v>3.3</c:v>
                </c:pt>
                <c:pt idx="33">
                  <c:v>3.4</c:v>
                </c:pt>
                <c:pt idx="34">
                  <c:v>3.5</c:v>
                </c:pt>
                <c:pt idx="35">
                  <c:v>3.6</c:v>
                </c:pt>
                <c:pt idx="36">
                  <c:v>3.7</c:v>
                </c:pt>
                <c:pt idx="37">
                  <c:v>3.8</c:v>
                </c:pt>
                <c:pt idx="38">
                  <c:v>3.9</c:v>
                </c:pt>
                <c:pt idx="39">
                  <c:v>4</c:v>
                </c:pt>
                <c:pt idx="40">
                  <c:v>4.0999999999999996</c:v>
                </c:pt>
                <c:pt idx="41">
                  <c:v>4.2</c:v>
                </c:pt>
                <c:pt idx="42">
                  <c:v>4.3</c:v>
                </c:pt>
                <c:pt idx="43">
                  <c:v>4.4000000000000004</c:v>
                </c:pt>
                <c:pt idx="44">
                  <c:v>4.5</c:v>
                </c:pt>
                <c:pt idx="45">
                  <c:v>4.5999999999999996</c:v>
                </c:pt>
                <c:pt idx="46">
                  <c:v>4.7</c:v>
                </c:pt>
                <c:pt idx="47">
                  <c:v>4.8</c:v>
                </c:pt>
                <c:pt idx="48">
                  <c:v>4.9000000000000004</c:v>
                </c:pt>
                <c:pt idx="49">
                  <c:v>5</c:v>
                </c:pt>
                <c:pt idx="50">
                  <c:v>5.0999999999999996</c:v>
                </c:pt>
                <c:pt idx="51">
                  <c:v>5.2</c:v>
                </c:pt>
                <c:pt idx="52">
                  <c:v>5.3</c:v>
                </c:pt>
                <c:pt idx="53">
                  <c:v>5.4</c:v>
                </c:pt>
                <c:pt idx="54">
                  <c:v>5.5</c:v>
                </c:pt>
                <c:pt idx="55">
                  <c:v>5.6</c:v>
                </c:pt>
                <c:pt idx="56">
                  <c:v>5.7</c:v>
                </c:pt>
                <c:pt idx="57">
                  <c:v>5.8</c:v>
                </c:pt>
                <c:pt idx="58">
                  <c:v>5.9</c:v>
                </c:pt>
                <c:pt idx="59">
                  <c:v>6</c:v>
                </c:pt>
                <c:pt idx="60">
                  <c:v>6.1</c:v>
                </c:pt>
                <c:pt idx="61">
                  <c:v>6.2</c:v>
                </c:pt>
                <c:pt idx="62">
                  <c:v>6.3</c:v>
                </c:pt>
                <c:pt idx="63">
                  <c:v>6.4</c:v>
                </c:pt>
                <c:pt idx="64">
                  <c:v>6.5</c:v>
                </c:pt>
                <c:pt idx="65">
                  <c:v>6.6</c:v>
                </c:pt>
                <c:pt idx="66">
                  <c:v>6.7</c:v>
                </c:pt>
                <c:pt idx="67">
                  <c:v>6.8</c:v>
                </c:pt>
                <c:pt idx="68">
                  <c:v>6.9</c:v>
                </c:pt>
                <c:pt idx="69">
                  <c:v>7</c:v>
                </c:pt>
                <c:pt idx="70">
                  <c:v>7.1</c:v>
                </c:pt>
                <c:pt idx="71">
                  <c:v>7.2</c:v>
                </c:pt>
                <c:pt idx="72">
                  <c:v>7.3</c:v>
                </c:pt>
                <c:pt idx="73">
                  <c:v>7.4</c:v>
                </c:pt>
                <c:pt idx="74">
                  <c:v>7.5</c:v>
                </c:pt>
                <c:pt idx="75">
                  <c:v>7.6</c:v>
                </c:pt>
                <c:pt idx="76">
                  <c:v>7.7</c:v>
                </c:pt>
                <c:pt idx="77">
                  <c:v>7.8</c:v>
                </c:pt>
                <c:pt idx="78">
                  <c:v>7.9</c:v>
                </c:pt>
                <c:pt idx="79">
                  <c:v>8</c:v>
                </c:pt>
                <c:pt idx="80">
                  <c:v>8.1</c:v>
                </c:pt>
                <c:pt idx="81">
                  <c:v>8.1999999999999993</c:v>
                </c:pt>
                <c:pt idx="82">
                  <c:v>8.3000000000000007</c:v>
                </c:pt>
                <c:pt idx="83">
                  <c:v>8.4</c:v>
                </c:pt>
                <c:pt idx="84">
                  <c:v>8.5</c:v>
                </c:pt>
                <c:pt idx="85">
                  <c:v>8.6</c:v>
                </c:pt>
                <c:pt idx="86">
                  <c:v>8.6999999999999993</c:v>
                </c:pt>
                <c:pt idx="87">
                  <c:v>8.8000000000000007</c:v>
                </c:pt>
                <c:pt idx="88">
                  <c:v>8.9</c:v>
                </c:pt>
                <c:pt idx="89">
                  <c:v>9</c:v>
                </c:pt>
                <c:pt idx="90">
                  <c:v>9.1</c:v>
                </c:pt>
                <c:pt idx="91">
                  <c:v>9.1999999999999993</c:v>
                </c:pt>
                <c:pt idx="92">
                  <c:v>9.3000000000000007</c:v>
                </c:pt>
                <c:pt idx="93">
                  <c:v>9.4</c:v>
                </c:pt>
                <c:pt idx="94">
                  <c:v>9.5</c:v>
                </c:pt>
                <c:pt idx="95">
                  <c:v>9.6</c:v>
                </c:pt>
                <c:pt idx="96">
                  <c:v>9.6999999999999993</c:v>
                </c:pt>
                <c:pt idx="97">
                  <c:v>9.8000000000000007</c:v>
                </c:pt>
                <c:pt idx="98">
                  <c:v>9.9</c:v>
                </c:pt>
                <c:pt idx="99">
                  <c:v>10</c:v>
                </c:pt>
                <c:pt idx="100">
                  <c:v>10.1</c:v>
                </c:pt>
                <c:pt idx="101">
                  <c:v>10.199999999999999</c:v>
                </c:pt>
                <c:pt idx="102">
                  <c:v>10.3</c:v>
                </c:pt>
                <c:pt idx="103">
                  <c:v>10.4</c:v>
                </c:pt>
                <c:pt idx="104">
                  <c:v>10.5</c:v>
                </c:pt>
                <c:pt idx="105">
                  <c:v>10.6</c:v>
                </c:pt>
                <c:pt idx="106">
                  <c:v>10.7</c:v>
                </c:pt>
                <c:pt idx="107">
                  <c:v>10.8</c:v>
                </c:pt>
                <c:pt idx="108">
                  <c:v>10.9</c:v>
                </c:pt>
                <c:pt idx="109">
                  <c:v>11</c:v>
                </c:pt>
                <c:pt idx="110">
                  <c:v>11.1</c:v>
                </c:pt>
                <c:pt idx="111">
                  <c:v>11.2</c:v>
                </c:pt>
                <c:pt idx="112">
                  <c:v>11.3</c:v>
                </c:pt>
                <c:pt idx="113">
                  <c:v>11.4</c:v>
                </c:pt>
                <c:pt idx="114">
                  <c:v>11.5</c:v>
                </c:pt>
                <c:pt idx="115">
                  <c:v>11.6</c:v>
                </c:pt>
                <c:pt idx="116">
                  <c:v>11.7</c:v>
                </c:pt>
                <c:pt idx="117">
                  <c:v>11.8</c:v>
                </c:pt>
                <c:pt idx="118">
                  <c:v>11.9</c:v>
                </c:pt>
                <c:pt idx="119">
                  <c:v>12</c:v>
                </c:pt>
                <c:pt idx="120">
                  <c:v>12.1</c:v>
                </c:pt>
                <c:pt idx="121">
                  <c:v>12.2</c:v>
                </c:pt>
                <c:pt idx="122">
                  <c:v>12.3</c:v>
                </c:pt>
                <c:pt idx="123">
                  <c:v>12.4</c:v>
                </c:pt>
                <c:pt idx="124">
                  <c:v>12.5</c:v>
                </c:pt>
                <c:pt idx="125">
                  <c:v>12.6</c:v>
                </c:pt>
                <c:pt idx="126">
                  <c:v>12.7</c:v>
                </c:pt>
                <c:pt idx="127">
                  <c:v>12.8</c:v>
                </c:pt>
                <c:pt idx="128">
                  <c:v>12.9</c:v>
                </c:pt>
                <c:pt idx="129">
                  <c:v>13</c:v>
                </c:pt>
                <c:pt idx="130">
                  <c:v>13.1</c:v>
                </c:pt>
                <c:pt idx="131">
                  <c:v>13.2</c:v>
                </c:pt>
                <c:pt idx="132">
                  <c:v>13.3</c:v>
                </c:pt>
                <c:pt idx="133">
                  <c:v>13.4</c:v>
                </c:pt>
                <c:pt idx="134">
                  <c:v>13.5</c:v>
                </c:pt>
                <c:pt idx="135">
                  <c:v>13.6</c:v>
                </c:pt>
                <c:pt idx="136">
                  <c:v>13.7</c:v>
                </c:pt>
                <c:pt idx="137">
                  <c:v>13.8</c:v>
                </c:pt>
                <c:pt idx="138">
                  <c:v>13.9</c:v>
                </c:pt>
                <c:pt idx="139">
                  <c:v>14</c:v>
                </c:pt>
                <c:pt idx="140">
                  <c:v>14.1</c:v>
                </c:pt>
                <c:pt idx="141">
                  <c:v>14.2</c:v>
                </c:pt>
                <c:pt idx="142">
                  <c:v>14.3</c:v>
                </c:pt>
                <c:pt idx="143">
                  <c:v>14.4</c:v>
                </c:pt>
                <c:pt idx="144">
                  <c:v>14.5</c:v>
                </c:pt>
                <c:pt idx="145">
                  <c:v>14.6</c:v>
                </c:pt>
                <c:pt idx="146">
                  <c:v>14.7</c:v>
                </c:pt>
                <c:pt idx="147">
                  <c:v>14.8</c:v>
                </c:pt>
                <c:pt idx="148">
                  <c:v>14.9</c:v>
                </c:pt>
                <c:pt idx="149">
                  <c:v>15</c:v>
                </c:pt>
                <c:pt idx="150">
                  <c:v>15.1</c:v>
                </c:pt>
                <c:pt idx="151">
                  <c:v>15.2</c:v>
                </c:pt>
                <c:pt idx="152">
                  <c:v>15.3</c:v>
                </c:pt>
                <c:pt idx="153">
                  <c:v>15.4</c:v>
                </c:pt>
                <c:pt idx="154">
                  <c:v>15.5</c:v>
                </c:pt>
                <c:pt idx="155">
                  <c:v>15.6</c:v>
                </c:pt>
                <c:pt idx="156">
                  <c:v>15.7</c:v>
                </c:pt>
                <c:pt idx="157">
                  <c:v>15.8</c:v>
                </c:pt>
                <c:pt idx="158">
                  <c:v>15.9</c:v>
                </c:pt>
                <c:pt idx="159">
                  <c:v>16</c:v>
                </c:pt>
                <c:pt idx="160">
                  <c:v>16.100000000000001</c:v>
                </c:pt>
                <c:pt idx="161">
                  <c:v>16.2</c:v>
                </c:pt>
                <c:pt idx="162">
                  <c:v>16.3</c:v>
                </c:pt>
                <c:pt idx="163">
                  <c:v>16.399999999999999</c:v>
                </c:pt>
                <c:pt idx="164">
                  <c:v>16.5</c:v>
                </c:pt>
                <c:pt idx="165">
                  <c:v>16.600000000000001</c:v>
                </c:pt>
                <c:pt idx="166">
                  <c:v>16.7</c:v>
                </c:pt>
                <c:pt idx="167">
                  <c:v>16.8</c:v>
                </c:pt>
                <c:pt idx="168">
                  <c:v>16.899999999999999</c:v>
                </c:pt>
                <c:pt idx="169">
                  <c:v>17</c:v>
                </c:pt>
                <c:pt idx="170">
                  <c:v>17.100000000000001</c:v>
                </c:pt>
                <c:pt idx="171">
                  <c:v>17.2</c:v>
                </c:pt>
                <c:pt idx="172">
                  <c:v>17.3</c:v>
                </c:pt>
                <c:pt idx="173">
                  <c:v>17.399999999999999</c:v>
                </c:pt>
                <c:pt idx="174">
                  <c:v>17.5</c:v>
                </c:pt>
                <c:pt idx="175">
                  <c:v>17.600000000000001</c:v>
                </c:pt>
                <c:pt idx="176">
                  <c:v>17.7</c:v>
                </c:pt>
                <c:pt idx="177">
                  <c:v>17.8</c:v>
                </c:pt>
                <c:pt idx="178">
                  <c:v>17.899999999999999</c:v>
                </c:pt>
                <c:pt idx="179">
                  <c:v>18</c:v>
                </c:pt>
                <c:pt idx="180">
                  <c:v>18.100000000000001</c:v>
                </c:pt>
                <c:pt idx="181">
                  <c:v>18.2</c:v>
                </c:pt>
                <c:pt idx="182">
                  <c:v>18.3</c:v>
                </c:pt>
                <c:pt idx="183">
                  <c:v>18.399999999999999</c:v>
                </c:pt>
                <c:pt idx="184">
                  <c:v>18.5</c:v>
                </c:pt>
                <c:pt idx="185">
                  <c:v>18.600000000000001</c:v>
                </c:pt>
                <c:pt idx="186">
                  <c:v>18.7</c:v>
                </c:pt>
                <c:pt idx="187">
                  <c:v>18.8</c:v>
                </c:pt>
                <c:pt idx="188">
                  <c:v>18.899999999999999</c:v>
                </c:pt>
                <c:pt idx="189">
                  <c:v>19</c:v>
                </c:pt>
                <c:pt idx="190">
                  <c:v>19.100000000000001</c:v>
                </c:pt>
                <c:pt idx="191">
                  <c:v>19.2</c:v>
                </c:pt>
                <c:pt idx="192">
                  <c:v>19.3</c:v>
                </c:pt>
                <c:pt idx="193">
                  <c:v>19.399999999999999</c:v>
                </c:pt>
                <c:pt idx="194">
                  <c:v>19.5</c:v>
                </c:pt>
                <c:pt idx="195">
                  <c:v>19.600000000000001</c:v>
                </c:pt>
                <c:pt idx="196">
                  <c:v>19.7</c:v>
                </c:pt>
                <c:pt idx="197">
                  <c:v>19.8</c:v>
                </c:pt>
                <c:pt idx="198">
                  <c:v>19.899999999999999</c:v>
                </c:pt>
                <c:pt idx="199">
                  <c:v>20</c:v>
                </c:pt>
              </c:numCache>
            </c:numRef>
          </c:xVal>
          <c:yVal>
            <c:numRef>
              <c:f>'Piston Velocity'!$C$21:$C$220</c:f>
              <c:numCache>
                <c:formatCode>General</c:formatCode>
                <c:ptCount val="200"/>
                <c:pt idx="0">
                  <c:v>1.0308904437454987E-4</c:v>
                </c:pt>
                <c:pt idx="1">
                  <c:v>3.2129332771079497E-4</c:v>
                </c:pt>
                <c:pt idx="2">
                  <c:v>6.2472857578362473E-4</c:v>
                </c:pt>
                <c:pt idx="3">
                  <c:v>1.0013615225340187E-3</c:v>
                </c:pt>
                <c:pt idx="4">
                  <c:v>1.4438541347582673E-3</c:v>
                </c:pt>
                <c:pt idx="5">
                  <c:v>1.9470655126094028E-3</c:v>
                </c:pt>
                <c:pt idx="6">
                  <c:v>2.5071094819287707E-3</c:v>
                </c:pt>
                <c:pt idx="7">
                  <c:v>3.1209017191736678E-3</c:v>
                </c:pt>
                <c:pt idx="8">
                  <c:v>3.7859095092842702E-3</c:v>
                </c:pt>
                <c:pt idx="9">
                  <c:v>4.5000000000000005E-3</c:v>
                </c:pt>
                <c:pt idx="10">
                  <c:v>5.2613418125216048E-3</c:v>
                </c:pt>
                <c:pt idx="11">
                  <c:v>6.0683379268150432E-3</c:v>
                </c:pt>
                <c:pt idx="12">
                  <c:v>6.9195780373093874E-3</c:v>
                </c:pt>
                <c:pt idx="13">
                  <c:v>7.8138036225995373E-3</c:v>
                </c:pt>
                <c:pt idx="14">
                  <c:v>8.7498816457116796E-3</c:v>
                </c:pt>
                <c:pt idx="15">
                  <c:v>9.7267843047267287E-3</c:v>
                </c:pt>
                <c:pt idx="16">
                  <c:v>1.0743573141809903E-2</c:v>
                </c:pt>
                <c:pt idx="17">
                  <c:v>1.1799386365736672E-2</c:v>
                </c:pt>
                <c:pt idx="18">
                  <c:v>1.2893428591978704E-2</c:v>
                </c:pt>
                <c:pt idx="19">
                  <c:v>1.4024962433888996E-2</c:v>
                </c:pt>
                <c:pt idx="20">
                  <c:v>1.5193301533462027E-2</c:v>
                </c:pt>
                <c:pt idx="21">
                  <c:v>1.6397804727214436E-2</c:v>
                </c:pt>
                <c:pt idx="22">
                  <c:v>1.7637871118261834E-2</c:v>
                </c:pt>
                <c:pt idx="23">
                  <c:v>1.8912935879938846E-2</c:v>
                </c:pt>
                <c:pt idx="24">
                  <c:v>2.0222466655954476E-2</c:v>
                </c:pt>
                <c:pt idx="25">
                  <c:v>2.1565960451472774E-2</c:v>
                </c:pt>
                <c:pt idx="26">
                  <c:v>2.2942940931604438E-2</c:v>
                </c:pt>
                <c:pt idx="27">
                  <c:v>2.4352956060609835E-2</c:v>
                </c:pt>
                <c:pt idx="28">
                  <c:v>2.5795576028056683E-2</c:v>
                </c:pt>
                <c:pt idx="29">
                  <c:v>2.727039141824026E-2</c:v>
                </c:pt>
                <c:pt idx="30">
                  <c:v>2.8777011587079349E-2</c:v>
                </c:pt>
                <c:pt idx="31">
                  <c:v>3.0315063216962992E-2</c:v>
                </c:pt>
                <c:pt idx="32">
                  <c:v>3.1884189025026169E-2</c:v>
                </c:pt>
                <c:pt idx="33">
                  <c:v>3.3484046604360593E-2</c:v>
                </c:pt>
                <c:pt idx="34">
                  <c:v>3.5114307380932318E-2</c:v>
                </c:pt>
                <c:pt idx="35">
                  <c:v>3.6774655671644174E-2</c:v>
                </c:pt>
                <c:pt idx="36">
                  <c:v>3.8464787831171209E-2</c:v>
                </c:pt>
                <c:pt idx="37">
                  <c:v>4.0184411477007027E-2</c:v>
                </c:pt>
                <c:pt idx="38">
                  <c:v>4.1933244783663469E-2</c:v>
                </c:pt>
                <c:pt idx="39">
                  <c:v>4.3711015838221678E-2</c:v>
                </c:pt>
                <c:pt idx="40">
                  <c:v>4.5517462050488462E-2</c:v>
                </c:pt>
                <c:pt idx="41">
                  <c:v>4.7352329611900688E-2</c:v>
                </c:pt>
                <c:pt idx="42">
                  <c:v>4.9215372998074776E-2</c:v>
                </c:pt>
                <c:pt idx="43">
                  <c:v>5.1106354510539971E-2</c:v>
                </c:pt>
                <c:pt idx="44">
                  <c:v>5.3025043853740829E-2</c:v>
                </c:pt>
                <c:pt idx="45">
                  <c:v>5.4971217743866214E-2</c:v>
                </c:pt>
                <c:pt idx="46">
                  <c:v>5.6944659546464375E-2</c:v>
                </c:pt>
                <c:pt idx="47">
                  <c:v>5.8945158940154167E-2</c:v>
                </c:pt>
                <c:pt idx="48">
                  <c:v>6.0972511604045029E-2</c:v>
                </c:pt>
                <c:pt idx="49">
                  <c:v>6.3026518926740951E-2</c:v>
                </c:pt>
                <c:pt idx="50">
                  <c:v>6.5106987735033164E-2</c:v>
                </c:pt>
                <c:pt idx="51">
                  <c:v>6.7213730040586991E-2</c:v>
                </c:pt>
                <c:pt idx="52">
                  <c:v>6.9346562803104292E-2</c:v>
                </c:pt>
                <c:pt idx="53">
                  <c:v>7.1505307708596991E-2</c:v>
                </c:pt>
                <c:pt idx="54">
                  <c:v>7.3689790961543655E-2</c:v>
                </c:pt>
                <c:pt idx="55">
                  <c:v>7.5899843089822755E-2</c:v>
                </c:pt>
                <c:pt idx="56">
                  <c:v>7.8135298761419947E-2</c:v>
                </c:pt>
                <c:pt idx="57">
                  <c:v>8.0395996612005E-2</c:v>
                </c:pt>
                <c:pt idx="58">
                  <c:v>8.2681779082555765E-2</c:v>
                </c:pt>
                <c:pt idx="59">
                  <c:v>8.4992492266281874E-2</c:v>
                </c:pt>
                <c:pt idx="60">
                  <c:v>8.7327985764169724E-2</c:v>
                </c:pt>
                <c:pt idx="61">
                  <c:v>8.9688112548528084E-2</c:v>
                </c:pt>
                <c:pt idx="62">
                  <c:v>9.207272883396872E-2</c:v>
                </c:pt>
                <c:pt idx="63">
                  <c:v>9.4481693955305784E-2</c:v>
                </c:pt>
                <c:pt idx="64">
                  <c:v>9.6914870251898003E-2</c:v>
                </c:pt>
                <c:pt idx="65">
                  <c:v>9.9372122958001727E-2</c:v>
                </c:pt>
                <c:pt idx="66">
                  <c:v>0.10185332009873353</c:v>
                </c:pt>
                <c:pt idx="67">
                  <c:v>0.10435833239127684</c:v>
                </c:pt>
                <c:pt idx="68">
                  <c:v>0.10688703315099449</c:v>
                </c:pt>
                <c:pt idx="69">
                  <c:v>0.10943929820213485</c:v>
                </c:pt>
                <c:pt idx="70">
                  <c:v>0.1120150057928451</c:v>
                </c:pt>
                <c:pt idx="71">
                  <c:v>0.11461403651422504</c:v>
                </c:pt>
                <c:pt idx="72">
                  <c:v>0.11723627322317645</c:v>
                </c:pt>
                <c:pt idx="73">
                  <c:v>0.11988160096881934</c:v>
                </c:pt>
                <c:pt idx="74">
                  <c:v>0.12254990692226453</c:v>
                </c:pt>
                <c:pt idx="75">
                  <c:v>0.12524108030954698</c:v>
                </c:pt>
                <c:pt idx="76">
                  <c:v>0.12795501234753615</c:v>
                </c:pt>
                <c:pt idx="77">
                  <c:v>0.13069159618265602</c:v>
                </c:pt>
                <c:pt idx="78">
                  <c:v>0.13345072683225603</c:v>
                </c:pt>
                <c:pt idx="79">
                  <c:v>0.13623230112848575</c:v>
                </c:pt>
                <c:pt idx="80">
                  <c:v>0.13903621766453747</c:v>
                </c:pt>
                <c:pt idx="81">
                  <c:v>0.14186237674312635</c:v>
                </c:pt>
                <c:pt idx="82">
                  <c:v>0.14471068032709247</c:v>
                </c:pt>
                <c:pt idx="83">
                  <c:v>0.14758103199200812</c:v>
                </c:pt>
                <c:pt idx="84">
                  <c:v>0.15047333688069059</c:v>
                </c:pt>
                <c:pt idx="85">
                  <c:v>0.15338750165951856</c:v>
                </c:pt>
                <c:pt idx="86">
                  <c:v>0.15632343447646233</c:v>
                </c:pt>
                <c:pt idx="87">
                  <c:v>0.15928104492074141</c:v>
                </c:pt>
                <c:pt idx="88">
                  <c:v>0.16226024398402733</c:v>
                </c:pt>
                <c:pt idx="89">
                  <c:v>0.16526094402311819</c:v>
                </c:pt>
                <c:pt idx="90">
                  <c:v>0.16828305872400995</c:v>
                </c:pt>
                <c:pt idx="91">
                  <c:v>0.17132650306730132</c:v>
                </c:pt>
                <c:pt idx="92">
                  <c:v>0.17439119329486427</c:v>
                </c:pt>
                <c:pt idx="93">
                  <c:v>0.17747704687772481</c:v>
                </c:pt>
                <c:pt idx="94">
                  <c:v>0.18058398248509544</c:v>
                </c:pt>
                <c:pt idx="95">
                  <c:v>0.18371191995450625</c:v>
                </c:pt>
                <c:pt idx="96">
                  <c:v>0.18686078026298578</c:v>
                </c:pt>
                <c:pt idx="97">
                  <c:v>0.19003048549924287</c:v>
                </c:pt>
                <c:pt idx="98">
                  <c:v>0.19322095883680532</c:v>
                </c:pt>
                <c:pt idx="99">
                  <c:v>0.19643212450807476</c:v>
                </c:pt>
                <c:pt idx="100">
                  <c:v>0.19966390777925405</c:v>
                </c:pt>
                <c:pt idx="101">
                  <c:v>0.20291623492611366</c:v>
                </c:pt>
                <c:pt idx="102">
                  <c:v>0.20618903321055682</c:v>
                </c:pt>
                <c:pt idx="103">
                  <c:v>0.20948223085795317</c:v>
                </c:pt>
                <c:pt idx="104">
                  <c:v>0.21279575703520601</c:v>
                </c:pt>
                <c:pt idx="105">
                  <c:v>0.21612954182952493</c:v>
                </c:pt>
                <c:pt idx="106">
                  <c:v>0.21948351622787152</c:v>
                </c:pt>
                <c:pt idx="107">
                  <c:v>0.22285761209705457</c:v>
                </c:pt>
                <c:pt idx="108">
                  <c:v>0.2262517621644444</c:v>
                </c:pt>
                <c:pt idx="109">
                  <c:v>0.22966589999928516</c:v>
                </c:pt>
                <c:pt idx="110">
                  <c:v>0.23309995999457855</c:v>
                </c:pt>
                <c:pt idx="111">
                  <c:v>0.23655387734951841</c:v>
                </c:pt>
                <c:pt idx="112">
                  <c:v>0.24002758805245353</c:v>
                </c:pt>
                <c:pt idx="113">
                  <c:v>0.24352102886435723</c:v>
                </c:pt>
                <c:pt idx="114">
                  <c:v>0.24703413730278828</c:v>
                </c:pt>
                <c:pt idx="115">
                  <c:v>0.25056685162631931</c:v>
                </c:pt>
                <c:pt idx="116">
                  <c:v>0.25411911081941868</c:v>
                </c:pt>
                <c:pt idx="117">
                  <c:v>0.25769085457776758</c:v>
                </c:pt>
                <c:pt idx="118">
                  <c:v>0.26128202329399586</c:v>
                </c:pt>
                <c:pt idx="119">
                  <c:v>0.26489255804382311</c:v>
                </c:pt>
                <c:pt idx="120">
                  <c:v>0.26852240057258758</c:v>
                </c:pt>
                <c:pt idx="121">
                  <c:v>0.27217149328214962</c:v>
                </c:pt>
                <c:pt idx="122">
                  <c:v>0.27583977921815944</c:v>
                </c:pt>
                <c:pt idx="123">
                  <c:v>0.27952720205766979</c:v>
                </c:pt>
                <c:pt idx="124">
                  <c:v>0.28323370609708948</c:v>
                </c:pt>
                <c:pt idx="125">
                  <c:v>0.28695923624045755</c:v>
                </c:pt>
                <c:pt idx="126">
                  <c:v>0.29070373798803423</c:v>
                </c:pt>
                <c:pt idx="127">
                  <c:v>0.29446715742519114</c:v>
                </c:pt>
                <c:pt idx="128">
                  <c:v>0.29824944121159819</c:v>
                </c:pt>
                <c:pt idx="129">
                  <c:v>0.30205053657068792</c:v>
                </c:pt>
                <c:pt idx="130">
                  <c:v>0.30587039127939791</c:v>
                </c:pt>
                <c:pt idx="131">
                  <c:v>0.30970895365817175</c:v>
                </c:pt>
                <c:pt idx="132">
                  <c:v>0.31356617256122005</c:v>
                </c:pt>
                <c:pt idx="133">
                  <c:v>0.31744199736702416</c:v>
                </c:pt>
                <c:pt idx="134">
                  <c:v>0.32133637796908132</c:v>
                </c:pt>
                <c:pt idx="135">
                  <c:v>0.32524926476687988</c:v>
                </c:pt>
                <c:pt idx="136">
                  <c:v>0.32918060865709559</c:v>
                </c:pt>
                <c:pt idx="137">
                  <c:v>0.33313036102501015</c:v>
                </c:pt>
                <c:pt idx="138">
                  <c:v>0.337098473736132</c:v>
                </c:pt>
                <c:pt idx="139">
                  <c:v>0.34108489912802598</c:v>
                </c:pt>
                <c:pt idx="140">
                  <c:v>0.34508959000233669</c:v>
                </c:pt>
                <c:pt idx="141">
                  <c:v>0.34911249961700219</c:v>
                </c:pt>
                <c:pt idx="142">
                  <c:v>0.35315358167865485</c:v>
                </c:pt>
                <c:pt idx="143">
                  <c:v>0.35721279033519737</c:v>
                </c:pt>
                <c:pt idx="144">
                  <c:v>0.36129008016855563</c:v>
                </c:pt>
                <c:pt idx="145">
                  <c:v>0.36538540618759896</c:v>
                </c:pt>
                <c:pt idx="146">
                  <c:v>0.36949872382122306</c:v>
                </c:pt>
                <c:pt idx="147">
                  <c:v>0.37362998891159122</c:v>
                </c:pt>
                <c:pt idx="148">
                  <c:v>0.37777915770753112</c:v>
                </c:pt>
                <c:pt idx="149">
                  <c:v>0.38194618685807863</c:v>
                </c:pt>
                <c:pt idx="150">
                  <c:v>0.38613103340616761</c:v>
                </c:pt>
                <c:pt idx="151">
                  <c:v>0.39033365478246018</c:v>
                </c:pt>
                <c:pt idx="152">
                  <c:v>0.39455400879931601</c:v>
                </c:pt>
                <c:pt idx="153">
                  <c:v>0.39879205364488823</c:v>
                </c:pt>
                <c:pt idx="154">
                  <c:v>0.40304774787735576</c:v>
                </c:pt>
                <c:pt idx="155">
                  <c:v>0.40732105041927569</c:v>
                </c:pt>
                <c:pt idx="156">
                  <c:v>0.41161192055206042</c:v>
                </c:pt>
                <c:pt idx="157">
                  <c:v>0.41592031791057144</c:v>
                </c:pt>
                <c:pt idx="158">
                  <c:v>0.42024620247783018</c:v>
                </c:pt>
                <c:pt idx="159">
                  <c:v>0.42458953457983695</c:v>
                </c:pt>
                <c:pt idx="160">
                  <c:v>0.42895027488050647</c:v>
                </c:pt>
                <c:pt idx="161">
                  <c:v>0.43332838437670018</c:v>
                </c:pt>
                <c:pt idx="162">
                  <c:v>0.43772382439336854</c:v>
                </c:pt>
                <c:pt idx="163">
                  <c:v>0.44213655657879025</c:v>
                </c:pt>
                <c:pt idx="164">
                  <c:v>0.44656654289991055</c:v>
                </c:pt>
                <c:pt idx="165">
                  <c:v>0.45101374563777602</c:v>
                </c:pt>
                <c:pt idx="166">
                  <c:v>0.45547812738305565</c:v>
                </c:pt>
                <c:pt idx="167">
                  <c:v>0.45995965103166314</c:v>
                </c:pt>
                <c:pt idx="168">
                  <c:v>0.46445827978045512</c:v>
                </c:pt>
                <c:pt idx="169">
                  <c:v>0.4689739771230243</c:v>
                </c:pt>
                <c:pt idx="170">
                  <c:v>0.47350670684556989</c:v>
                </c:pt>
                <c:pt idx="171">
                  <c:v>0.47805643302285217</c:v>
                </c:pt>
                <c:pt idx="172">
                  <c:v>0.48262312001422703</c:v>
                </c:pt>
                <c:pt idx="173">
                  <c:v>0.48720673245975382</c:v>
                </c:pt>
                <c:pt idx="174">
                  <c:v>0.4918072352763847</c:v>
                </c:pt>
                <c:pt idx="175">
                  <c:v>0.4964245936542187</c:v>
                </c:pt>
                <c:pt idx="176">
                  <c:v>0.50105877305283675</c:v>
                </c:pt>
                <c:pt idx="177">
                  <c:v>0.50570973919769913</c:v>
                </c:pt>
                <c:pt idx="178">
                  <c:v>0.51037745807661572</c:v>
                </c:pt>
                <c:pt idx="179">
                  <c:v>0.5150618959362806</c:v>
                </c:pt>
                <c:pt idx="180">
                  <c:v>0.51976301927886981</c:v>
                </c:pt>
                <c:pt idx="181">
                  <c:v>0.5244807948587058</c:v>
                </c:pt>
                <c:pt idx="182">
                  <c:v>0.52921518967898262</c:v>
                </c:pt>
                <c:pt idx="183">
                  <c:v>0.53396617098854859</c:v>
                </c:pt>
                <c:pt idx="184">
                  <c:v>0.53873370627875272</c:v>
                </c:pt>
                <c:pt idx="185">
                  <c:v>0.54351776328034351</c:v>
                </c:pt>
                <c:pt idx="186">
                  <c:v>0.5483183099604263</c:v>
                </c:pt>
                <c:pt idx="187">
                  <c:v>0.55313531451947728</c:v>
                </c:pt>
                <c:pt idx="188">
                  <c:v>0.55796874538840502</c:v>
                </c:pt>
                <c:pt idx="189">
                  <c:v>0.56281857122567347</c:v>
                </c:pt>
                <c:pt idx="190">
                  <c:v>0.56768476091446596</c:v>
                </c:pt>
                <c:pt idx="191">
                  <c:v>0.57256728355990516</c:v>
                </c:pt>
                <c:pt idx="192">
                  <c:v>0.57746610848632196</c:v>
                </c:pt>
                <c:pt idx="193">
                  <c:v>0.58238120523456949</c:v>
                </c:pt>
                <c:pt idx="194">
                  <c:v>0.58731254355938356</c:v>
                </c:pt>
                <c:pt idx="195">
                  <c:v>0.59226009342679331</c:v>
                </c:pt>
                <c:pt idx="196">
                  <c:v>0.59722382501156612</c:v>
                </c:pt>
                <c:pt idx="197">
                  <c:v>0.60220370869471285</c:v>
                </c:pt>
                <c:pt idx="198">
                  <c:v>0.60719971506101478</c:v>
                </c:pt>
                <c:pt idx="199">
                  <c:v>0.61221181489661181</c:v>
                </c:pt>
              </c:numCache>
            </c:numRef>
          </c:yVal>
          <c:smooth val="0"/>
          <c:extLst>
            <c:ext xmlns:c16="http://schemas.microsoft.com/office/drawing/2014/chart" uri="{C3380CC4-5D6E-409C-BE32-E72D297353CC}">
              <c16:uniqueId val="{00000001-303B-7442-81CF-59511BEE6CDF}"/>
            </c:ext>
          </c:extLst>
        </c:ser>
        <c:ser>
          <c:idx val="1"/>
          <c:order val="1"/>
          <c:tx>
            <c:v>Wanninkhof 1992</c:v>
          </c:tx>
          <c:spPr>
            <a:ln w="25400" cap="rnd">
              <a:noFill/>
              <a:round/>
            </a:ln>
            <a:effectLst/>
          </c:spPr>
          <c:marker>
            <c:symbol val="circle"/>
            <c:size val="5"/>
            <c:spPr>
              <a:solidFill>
                <a:schemeClr val="accent2"/>
              </a:solidFill>
              <a:ln w="9525">
                <a:solidFill>
                  <a:schemeClr val="accent2"/>
                </a:solidFill>
              </a:ln>
              <a:effectLst/>
            </c:spPr>
          </c:marker>
          <c:xVal>
            <c:numRef>
              <c:f>'Piston Velocity'!$A$21:$A$220</c:f>
              <c:numCache>
                <c:formatCode>General</c:formatCode>
                <c:ptCount val="200"/>
                <c:pt idx="0">
                  <c:v>0.1</c:v>
                </c:pt>
                <c:pt idx="1">
                  <c:v>0.2</c:v>
                </c:pt>
                <c:pt idx="2">
                  <c:v>0.3</c:v>
                </c:pt>
                <c:pt idx="3">
                  <c:v>0.4</c:v>
                </c:pt>
                <c:pt idx="4">
                  <c:v>0.5</c:v>
                </c:pt>
                <c:pt idx="5">
                  <c:v>0.6</c:v>
                </c:pt>
                <c:pt idx="6">
                  <c:v>0.7</c:v>
                </c:pt>
                <c:pt idx="7">
                  <c:v>0.8</c:v>
                </c:pt>
                <c:pt idx="8">
                  <c:v>0.9</c:v>
                </c:pt>
                <c:pt idx="9">
                  <c:v>1</c:v>
                </c:pt>
                <c:pt idx="10">
                  <c:v>1.1000000000000001</c:v>
                </c:pt>
                <c:pt idx="11">
                  <c:v>1.2</c:v>
                </c:pt>
                <c:pt idx="12">
                  <c:v>1.3</c:v>
                </c:pt>
                <c:pt idx="13">
                  <c:v>1.4</c:v>
                </c:pt>
                <c:pt idx="14">
                  <c:v>1.5</c:v>
                </c:pt>
                <c:pt idx="15">
                  <c:v>1.6</c:v>
                </c:pt>
                <c:pt idx="16">
                  <c:v>1.7</c:v>
                </c:pt>
                <c:pt idx="17">
                  <c:v>1.8</c:v>
                </c:pt>
                <c:pt idx="18">
                  <c:v>1.9</c:v>
                </c:pt>
                <c:pt idx="19">
                  <c:v>2</c:v>
                </c:pt>
                <c:pt idx="20">
                  <c:v>2.1</c:v>
                </c:pt>
                <c:pt idx="21">
                  <c:v>2.2000000000000002</c:v>
                </c:pt>
                <c:pt idx="22">
                  <c:v>2.2999999999999998</c:v>
                </c:pt>
                <c:pt idx="23">
                  <c:v>2.4</c:v>
                </c:pt>
                <c:pt idx="24">
                  <c:v>2.5</c:v>
                </c:pt>
                <c:pt idx="25">
                  <c:v>2.6</c:v>
                </c:pt>
                <c:pt idx="26">
                  <c:v>2.7</c:v>
                </c:pt>
                <c:pt idx="27">
                  <c:v>2.8</c:v>
                </c:pt>
                <c:pt idx="28">
                  <c:v>2.9</c:v>
                </c:pt>
                <c:pt idx="29">
                  <c:v>3</c:v>
                </c:pt>
                <c:pt idx="30">
                  <c:v>3.1</c:v>
                </c:pt>
                <c:pt idx="31">
                  <c:v>3.2</c:v>
                </c:pt>
                <c:pt idx="32">
                  <c:v>3.3</c:v>
                </c:pt>
                <c:pt idx="33">
                  <c:v>3.4</c:v>
                </c:pt>
                <c:pt idx="34">
                  <c:v>3.5</c:v>
                </c:pt>
                <c:pt idx="35">
                  <c:v>3.6</c:v>
                </c:pt>
                <c:pt idx="36">
                  <c:v>3.7</c:v>
                </c:pt>
                <c:pt idx="37">
                  <c:v>3.8</c:v>
                </c:pt>
                <c:pt idx="38">
                  <c:v>3.9</c:v>
                </c:pt>
                <c:pt idx="39">
                  <c:v>4</c:v>
                </c:pt>
                <c:pt idx="40">
                  <c:v>4.0999999999999996</c:v>
                </c:pt>
                <c:pt idx="41">
                  <c:v>4.2</c:v>
                </c:pt>
                <c:pt idx="42">
                  <c:v>4.3</c:v>
                </c:pt>
                <c:pt idx="43">
                  <c:v>4.4000000000000004</c:v>
                </c:pt>
                <c:pt idx="44">
                  <c:v>4.5</c:v>
                </c:pt>
                <c:pt idx="45">
                  <c:v>4.5999999999999996</c:v>
                </c:pt>
                <c:pt idx="46">
                  <c:v>4.7</c:v>
                </c:pt>
                <c:pt idx="47">
                  <c:v>4.8</c:v>
                </c:pt>
                <c:pt idx="48">
                  <c:v>4.9000000000000004</c:v>
                </c:pt>
                <c:pt idx="49">
                  <c:v>5</c:v>
                </c:pt>
                <c:pt idx="50">
                  <c:v>5.0999999999999996</c:v>
                </c:pt>
                <c:pt idx="51">
                  <c:v>5.2</c:v>
                </c:pt>
                <c:pt idx="52">
                  <c:v>5.3</c:v>
                </c:pt>
                <c:pt idx="53">
                  <c:v>5.4</c:v>
                </c:pt>
                <c:pt idx="54">
                  <c:v>5.5</c:v>
                </c:pt>
                <c:pt idx="55">
                  <c:v>5.6</c:v>
                </c:pt>
                <c:pt idx="56">
                  <c:v>5.7</c:v>
                </c:pt>
                <c:pt idx="57">
                  <c:v>5.8</c:v>
                </c:pt>
                <c:pt idx="58">
                  <c:v>5.9</c:v>
                </c:pt>
                <c:pt idx="59">
                  <c:v>6</c:v>
                </c:pt>
                <c:pt idx="60">
                  <c:v>6.1</c:v>
                </c:pt>
                <c:pt idx="61">
                  <c:v>6.2</c:v>
                </c:pt>
                <c:pt idx="62">
                  <c:v>6.3</c:v>
                </c:pt>
                <c:pt idx="63">
                  <c:v>6.4</c:v>
                </c:pt>
                <c:pt idx="64">
                  <c:v>6.5</c:v>
                </c:pt>
                <c:pt idx="65">
                  <c:v>6.6</c:v>
                </c:pt>
                <c:pt idx="66">
                  <c:v>6.7</c:v>
                </c:pt>
                <c:pt idx="67">
                  <c:v>6.8</c:v>
                </c:pt>
                <c:pt idx="68">
                  <c:v>6.9</c:v>
                </c:pt>
                <c:pt idx="69">
                  <c:v>7</c:v>
                </c:pt>
                <c:pt idx="70">
                  <c:v>7.1</c:v>
                </c:pt>
                <c:pt idx="71">
                  <c:v>7.2</c:v>
                </c:pt>
                <c:pt idx="72">
                  <c:v>7.3</c:v>
                </c:pt>
                <c:pt idx="73">
                  <c:v>7.4</c:v>
                </c:pt>
                <c:pt idx="74">
                  <c:v>7.5</c:v>
                </c:pt>
                <c:pt idx="75">
                  <c:v>7.6</c:v>
                </c:pt>
                <c:pt idx="76">
                  <c:v>7.7</c:v>
                </c:pt>
                <c:pt idx="77">
                  <c:v>7.8</c:v>
                </c:pt>
                <c:pt idx="78">
                  <c:v>7.9</c:v>
                </c:pt>
                <c:pt idx="79">
                  <c:v>8</c:v>
                </c:pt>
                <c:pt idx="80">
                  <c:v>8.1</c:v>
                </c:pt>
                <c:pt idx="81">
                  <c:v>8.1999999999999993</c:v>
                </c:pt>
                <c:pt idx="82">
                  <c:v>8.3000000000000007</c:v>
                </c:pt>
                <c:pt idx="83">
                  <c:v>8.4</c:v>
                </c:pt>
                <c:pt idx="84">
                  <c:v>8.5</c:v>
                </c:pt>
                <c:pt idx="85">
                  <c:v>8.6</c:v>
                </c:pt>
                <c:pt idx="86">
                  <c:v>8.6999999999999993</c:v>
                </c:pt>
                <c:pt idx="87">
                  <c:v>8.8000000000000007</c:v>
                </c:pt>
                <c:pt idx="88">
                  <c:v>8.9</c:v>
                </c:pt>
                <c:pt idx="89">
                  <c:v>9</c:v>
                </c:pt>
                <c:pt idx="90">
                  <c:v>9.1</c:v>
                </c:pt>
                <c:pt idx="91">
                  <c:v>9.1999999999999993</c:v>
                </c:pt>
                <c:pt idx="92">
                  <c:v>9.3000000000000007</c:v>
                </c:pt>
                <c:pt idx="93">
                  <c:v>9.4</c:v>
                </c:pt>
                <c:pt idx="94">
                  <c:v>9.5</c:v>
                </c:pt>
                <c:pt idx="95">
                  <c:v>9.6</c:v>
                </c:pt>
                <c:pt idx="96">
                  <c:v>9.6999999999999993</c:v>
                </c:pt>
                <c:pt idx="97">
                  <c:v>9.8000000000000007</c:v>
                </c:pt>
                <c:pt idx="98">
                  <c:v>9.9</c:v>
                </c:pt>
                <c:pt idx="99">
                  <c:v>10</c:v>
                </c:pt>
                <c:pt idx="100">
                  <c:v>10.1</c:v>
                </c:pt>
                <c:pt idx="101">
                  <c:v>10.199999999999999</c:v>
                </c:pt>
                <c:pt idx="102">
                  <c:v>10.3</c:v>
                </c:pt>
                <c:pt idx="103">
                  <c:v>10.4</c:v>
                </c:pt>
                <c:pt idx="104">
                  <c:v>10.5</c:v>
                </c:pt>
                <c:pt idx="105">
                  <c:v>10.6</c:v>
                </c:pt>
                <c:pt idx="106">
                  <c:v>10.7</c:v>
                </c:pt>
                <c:pt idx="107">
                  <c:v>10.8</c:v>
                </c:pt>
                <c:pt idx="108">
                  <c:v>10.9</c:v>
                </c:pt>
                <c:pt idx="109">
                  <c:v>11</c:v>
                </c:pt>
                <c:pt idx="110">
                  <c:v>11.1</c:v>
                </c:pt>
                <c:pt idx="111">
                  <c:v>11.2</c:v>
                </c:pt>
                <c:pt idx="112">
                  <c:v>11.3</c:v>
                </c:pt>
                <c:pt idx="113">
                  <c:v>11.4</c:v>
                </c:pt>
                <c:pt idx="114">
                  <c:v>11.5</c:v>
                </c:pt>
                <c:pt idx="115">
                  <c:v>11.6</c:v>
                </c:pt>
                <c:pt idx="116">
                  <c:v>11.7</c:v>
                </c:pt>
                <c:pt idx="117">
                  <c:v>11.8</c:v>
                </c:pt>
                <c:pt idx="118">
                  <c:v>11.9</c:v>
                </c:pt>
                <c:pt idx="119">
                  <c:v>12</c:v>
                </c:pt>
                <c:pt idx="120">
                  <c:v>12.1</c:v>
                </c:pt>
                <c:pt idx="121">
                  <c:v>12.2</c:v>
                </c:pt>
                <c:pt idx="122">
                  <c:v>12.3</c:v>
                </c:pt>
                <c:pt idx="123">
                  <c:v>12.4</c:v>
                </c:pt>
                <c:pt idx="124">
                  <c:v>12.5</c:v>
                </c:pt>
                <c:pt idx="125">
                  <c:v>12.6</c:v>
                </c:pt>
                <c:pt idx="126">
                  <c:v>12.7</c:v>
                </c:pt>
                <c:pt idx="127">
                  <c:v>12.8</c:v>
                </c:pt>
                <c:pt idx="128">
                  <c:v>12.9</c:v>
                </c:pt>
                <c:pt idx="129">
                  <c:v>13</c:v>
                </c:pt>
                <c:pt idx="130">
                  <c:v>13.1</c:v>
                </c:pt>
                <c:pt idx="131">
                  <c:v>13.2</c:v>
                </c:pt>
                <c:pt idx="132">
                  <c:v>13.3</c:v>
                </c:pt>
                <c:pt idx="133">
                  <c:v>13.4</c:v>
                </c:pt>
                <c:pt idx="134">
                  <c:v>13.5</c:v>
                </c:pt>
                <c:pt idx="135">
                  <c:v>13.6</c:v>
                </c:pt>
                <c:pt idx="136">
                  <c:v>13.7</c:v>
                </c:pt>
                <c:pt idx="137">
                  <c:v>13.8</c:v>
                </c:pt>
                <c:pt idx="138">
                  <c:v>13.9</c:v>
                </c:pt>
                <c:pt idx="139">
                  <c:v>14</c:v>
                </c:pt>
                <c:pt idx="140">
                  <c:v>14.1</c:v>
                </c:pt>
                <c:pt idx="141">
                  <c:v>14.2</c:v>
                </c:pt>
                <c:pt idx="142">
                  <c:v>14.3</c:v>
                </c:pt>
                <c:pt idx="143">
                  <c:v>14.4</c:v>
                </c:pt>
                <c:pt idx="144">
                  <c:v>14.5</c:v>
                </c:pt>
                <c:pt idx="145">
                  <c:v>14.6</c:v>
                </c:pt>
                <c:pt idx="146">
                  <c:v>14.7</c:v>
                </c:pt>
                <c:pt idx="147">
                  <c:v>14.8</c:v>
                </c:pt>
                <c:pt idx="148">
                  <c:v>14.9</c:v>
                </c:pt>
                <c:pt idx="149">
                  <c:v>15</c:v>
                </c:pt>
                <c:pt idx="150">
                  <c:v>15.1</c:v>
                </c:pt>
                <c:pt idx="151">
                  <c:v>15.2</c:v>
                </c:pt>
                <c:pt idx="152">
                  <c:v>15.3</c:v>
                </c:pt>
                <c:pt idx="153">
                  <c:v>15.4</c:v>
                </c:pt>
                <c:pt idx="154">
                  <c:v>15.5</c:v>
                </c:pt>
                <c:pt idx="155">
                  <c:v>15.6</c:v>
                </c:pt>
                <c:pt idx="156">
                  <c:v>15.7</c:v>
                </c:pt>
                <c:pt idx="157">
                  <c:v>15.8</c:v>
                </c:pt>
                <c:pt idx="158">
                  <c:v>15.9</c:v>
                </c:pt>
                <c:pt idx="159">
                  <c:v>16</c:v>
                </c:pt>
                <c:pt idx="160">
                  <c:v>16.100000000000001</c:v>
                </c:pt>
                <c:pt idx="161">
                  <c:v>16.2</c:v>
                </c:pt>
                <c:pt idx="162">
                  <c:v>16.3</c:v>
                </c:pt>
                <c:pt idx="163">
                  <c:v>16.399999999999999</c:v>
                </c:pt>
                <c:pt idx="164">
                  <c:v>16.5</c:v>
                </c:pt>
                <c:pt idx="165">
                  <c:v>16.600000000000001</c:v>
                </c:pt>
                <c:pt idx="166">
                  <c:v>16.7</c:v>
                </c:pt>
                <c:pt idx="167">
                  <c:v>16.8</c:v>
                </c:pt>
                <c:pt idx="168">
                  <c:v>16.899999999999999</c:v>
                </c:pt>
                <c:pt idx="169">
                  <c:v>17</c:v>
                </c:pt>
                <c:pt idx="170">
                  <c:v>17.100000000000001</c:v>
                </c:pt>
                <c:pt idx="171">
                  <c:v>17.2</c:v>
                </c:pt>
                <c:pt idx="172">
                  <c:v>17.3</c:v>
                </c:pt>
                <c:pt idx="173">
                  <c:v>17.399999999999999</c:v>
                </c:pt>
                <c:pt idx="174">
                  <c:v>17.5</c:v>
                </c:pt>
                <c:pt idx="175">
                  <c:v>17.600000000000001</c:v>
                </c:pt>
                <c:pt idx="176">
                  <c:v>17.7</c:v>
                </c:pt>
                <c:pt idx="177">
                  <c:v>17.8</c:v>
                </c:pt>
                <c:pt idx="178">
                  <c:v>17.899999999999999</c:v>
                </c:pt>
                <c:pt idx="179">
                  <c:v>18</c:v>
                </c:pt>
                <c:pt idx="180">
                  <c:v>18.100000000000001</c:v>
                </c:pt>
                <c:pt idx="181">
                  <c:v>18.2</c:v>
                </c:pt>
                <c:pt idx="182">
                  <c:v>18.3</c:v>
                </c:pt>
                <c:pt idx="183">
                  <c:v>18.399999999999999</c:v>
                </c:pt>
                <c:pt idx="184">
                  <c:v>18.5</c:v>
                </c:pt>
                <c:pt idx="185">
                  <c:v>18.600000000000001</c:v>
                </c:pt>
                <c:pt idx="186">
                  <c:v>18.7</c:v>
                </c:pt>
                <c:pt idx="187">
                  <c:v>18.8</c:v>
                </c:pt>
                <c:pt idx="188">
                  <c:v>18.899999999999999</c:v>
                </c:pt>
                <c:pt idx="189">
                  <c:v>19</c:v>
                </c:pt>
                <c:pt idx="190">
                  <c:v>19.100000000000001</c:v>
                </c:pt>
                <c:pt idx="191">
                  <c:v>19.2</c:v>
                </c:pt>
                <c:pt idx="192">
                  <c:v>19.3</c:v>
                </c:pt>
                <c:pt idx="193">
                  <c:v>19.399999999999999</c:v>
                </c:pt>
                <c:pt idx="194">
                  <c:v>19.5</c:v>
                </c:pt>
                <c:pt idx="195">
                  <c:v>19.600000000000001</c:v>
                </c:pt>
                <c:pt idx="196">
                  <c:v>19.7</c:v>
                </c:pt>
                <c:pt idx="197">
                  <c:v>19.8</c:v>
                </c:pt>
                <c:pt idx="198">
                  <c:v>19.899999999999999</c:v>
                </c:pt>
                <c:pt idx="199">
                  <c:v>20</c:v>
                </c:pt>
              </c:numCache>
            </c:numRef>
          </c:xVal>
          <c:yVal>
            <c:numRef>
              <c:f>'Piston Velocity'!$D$21:$D$220</c:f>
              <c:numCache>
                <c:formatCode>General</c:formatCode>
                <c:ptCount val="200"/>
                <c:pt idx="0">
                  <c:v>3.251307429327471E-5</c:v>
                </c:pt>
                <c:pt idx="1">
                  <c:v>1.3005229717309884E-4</c:v>
                </c:pt>
                <c:pt idx="2">
                  <c:v>2.926176686394723E-4</c:v>
                </c:pt>
                <c:pt idx="3">
                  <c:v>5.2020918869239536E-4</c:v>
                </c:pt>
                <c:pt idx="4">
                  <c:v>8.128268573318675E-4</c:v>
                </c:pt>
                <c:pt idx="5">
                  <c:v>1.1704706745578892E-3</c:v>
                </c:pt>
                <c:pt idx="6">
                  <c:v>1.5931406403704601E-3</c:v>
                </c:pt>
                <c:pt idx="7">
                  <c:v>2.0808367547695814E-3</c:v>
                </c:pt>
                <c:pt idx="8">
                  <c:v>2.6335590177552506E-3</c:v>
                </c:pt>
                <c:pt idx="9">
                  <c:v>3.25130742932747E-3</c:v>
                </c:pt>
                <c:pt idx="10">
                  <c:v>3.9340819894862393E-3</c:v>
                </c:pt>
                <c:pt idx="11">
                  <c:v>4.6818826982315568E-3</c:v>
                </c:pt>
                <c:pt idx="12">
                  <c:v>5.4947095555634255E-3</c:v>
                </c:pt>
                <c:pt idx="13">
                  <c:v>6.3725625614818402E-3</c:v>
                </c:pt>
                <c:pt idx="14">
                  <c:v>7.3154417159868078E-3</c:v>
                </c:pt>
                <c:pt idx="15">
                  <c:v>8.3233470190783258E-3</c:v>
                </c:pt>
                <c:pt idx="16">
                  <c:v>9.396278470756388E-3</c:v>
                </c:pt>
                <c:pt idx="17">
                  <c:v>1.0534236071021002E-2</c:v>
                </c:pt>
                <c:pt idx="18">
                  <c:v>1.1737219819872167E-2</c:v>
                </c:pt>
                <c:pt idx="19">
                  <c:v>1.300522971730988E-2</c:v>
                </c:pt>
                <c:pt idx="20">
                  <c:v>1.4338265763334144E-2</c:v>
                </c:pt>
                <c:pt idx="21">
                  <c:v>1.5736327957944957E-2</c:v>
                </c:pt>
                <c:pt idx="22">
                  <c:v>1.7199416301142315E-2</c:v>
                </c:pt>
                <c:pt idx="23">
                  <c:v>1.8727530792926227E-2</c:v>
                </c:pt>
                <c:pt idx="24">
                  <c:v>2.0320671433296685E-2</c:v>
                </c:pt>
                <c:pt idx="25">
                  <c:v>2.1978838222253702E-2</c:v>
                </c:pt>
                <c:pt idx="26">
                  <c:v>2.3702031159797264E-2</c:v>
                </c:pt>
                <c:pt idx="27">
                  <c:v>2.5490250245927361E-2</c:v>
                </c:pt>
                <c:pt idx="28">
                  <c:v>2.7343495480644023E-2</c:v>
                </c:pt>
                <c:pt idx="29">
                  <c:v>2.9261766863947231E-2</c:v>
                </c:pt>
                <c:pt idx="30">
                  <c:v>3.1245064395836991E-2</c:v>
                </c:pt>
                <c:pt idx="31">
                  <c:v>3.3293388076313303E-2</c:v>
                </c:pt>
                <c:pt idx="32">
                  <c:v>3.5406737905376143E-2</c:v>
                </c:pt>
                <c:pt idx="33">
                  <c:v>3.7585113883025552E-2</c:v>
                </c:pt>
                <c:pt idx="34">
                  <c:v>3.982851600926151E-2</c:v>
                </c:pt>
                <c:pt idx="35">
                  <c:v>4.2136944284084009E-2</c:v>
                </c:pt>
                <c:pt idx="36">
                  <c:v>4.4510398707493064E-2</c:v>
                </c:pt>
                <c:pt idx="37">
                  <c:v>4.6948879279488667E-2</c:v>
                </c:pt>
                <c:pt idx="38">
                  <c:v>4.9452386000070812E-2</c:v>
                </c:pt>
                <c:pt idx="39">
                  <c:v>5.202091886923952E-2</c:v>
                </c:pt>
                <c:pt idx="40">
                  <c:v>5.4654477886994762E-2</c:v>
                </c:pt>
                <c:pt idx="41">
                  <c:v>5.7353063053336574E-2</c:v>
                </c:pt>
                <c:pt idx="42">
                  <c:v>6.0116674368264914E-2</c:v>
                </c:pt>
                <c:pt idx="43">
                  <c:v>6.2945311831779829E-2</c:v>
                </c:pt>
                <c:pt idx="44">
                  <c:v>6.5838975443881273E-2</c:v>
                </c:pt>
                <c:pt idx="45">
                  <c:v>6.8797665204569258E-2</c:v>
                </c:pt>
                <c:pt idx="46">
                  <c:v>7.1821381113843827E-2</c:v>
                </c:pt>
                <c:pt idx="47">
                  <c:v>7.4910123171704909E-2</c:v>
                </c:pt>
                <c:pt idx="48">
                  <c:v>7.8063891378152575E-2</c:v>
                </c:pt>
                <c:pt idx="49">
                  <c:v>8.1282685733186741E-2</c:v>
                </c:pt>
                <c:pt idx="50">
                  <c:v>8.4566506236807476E-2</c:v>
                </c:pt>
                <c:pt idx="51">
                  <c:v>8.7915352889014808E-2</c:v>
                </c:pt>
                <c:pt idx="52">
                  <c:v>9.1329225689808627E-2</c:v>
                </c:pt>
                <c:pt idx="53">
                  <c:v>9.4808124639189056E-2</c:v>
                </c:pt>
                <c:pt idx="54">
                  <c:v>9.8352049737155958E-2</c:v>
                </c:pt>
                <c:pt idx="55">
                  <c:v>0.10196100098370944</c:v>
                </c:pt>
                <c:pt idx="56">
                  <c:v>0.10563497837884951</c:v>
                </c:pt>
                <c:pt idx="57">
                  <c:v>0.10937398192257609</c:v>
                </c:pt>
                <c:pt idx="58">
                  <c:v>0.11317801161488923</c:v>
                </c:pt>
                <c:pt idx="59">
                  <c:v>0.11704706745578893</c:v>
                </c:pt>
                <c:pt idx="60">
                  <c:v>0.12098114944527515</c:v>
                </c:pt>
                <c:pt idx="61">
                  <c:v>0.12498025758334796</c:v>
                </c:pt>
                <c:pt idx="62">
                  <c:v>0.12904439187000727</c:v>
                </c:pt>
                <c:pt idx="63">
                  <c:v>0.13317355230525321</c:v>
                </c:pt>
                <c:pt idx="64">
                  <c:v>0.1373677388890856</c:v>
                </c:pt>
                <c:pt idx="65">
                  <c:v>0.14162695162150457</c:v>
                </c:pt>
                <c:pt idx="66">
                  <c:v>0.14595119050251015</c:v>
                </c:pt>
                <c:pt idx="67">
                  <c:v>0.15034045553210221</c:v>
                </c:pt>
                <c:pt idx="68">
                  <c:v>0.15479474671028087</c:v>
                </c:pt>
                <c:pt idx="69">
                  <c:v>0.15931406403704604</c:v>
                </c:pt>
                <c:pt idx="70">
                  <c:v>0.16389840751239773</c:v>
                </c:pt>
                <c:pt idx="71">
                  <c:v>0.16854777713633604</c:v>
                </c:pt>
                <c:pt idx="72">
                  <c:v>0.1732621729088609</c:v>
                </c:pt>
                <c:pt idx="73">
                  <c:v>0.17804159482997226</c:v>
                </c:pt>
                <c:pt idx="74">
                  <c:v>0.1828860428996702</c:v>
                </c:pt>
                <c:pt idx="75">
                  <c:v>0.18779551711795467</c:v>
                </c:pt>
                <c:pt idx="76">
                  <c:v>0.19277001748482572</c:v>
                </c:pt>
                <c:pt idx="77">
                  <c:v>0.19780954400028325</c:v>
                </c:pt>
                <c:pt idx="78">
                  <c:v>0.20291409666432741</c:v>
                </c:pt>
                <c:pt idx="79">
                  <c:v>0.20808367547695808</c:v>
                </c:pt>
                <c:pt idx="80">
                  <c:v>0.2133182804381753</c:v>
                </c:pt>
                <c:pt idx="81">
                  <c:v>0.21861791154797905</c:v>
                </c:pt>
                <c:pt idx="82">
                  <c:v>0.22398256880636946</c:v>
                </c:pt>
                <c:pt idx="83">
                  <c:v>0.2294122522133463</c:v>
                </c:pt>
                <c:pt idx="84">
                  <c:v>0.23490696176890971</c:v>
                </c:pt>
                <c:pt idx="85">
                  <c:v>0.24046669747305965</c:v>
                </c:pt>
                <c:pt idx="86">
                  <c:v>0.24609145932579615</c:v>
                </c:pt>
                <c:pt idx="87">
                  <c:v>0.25178124732711932</c:v>
                </c:pt>
                <c:pt idx="88">
                  <c:v>0.25753606147702895</c:v>
                </c:pt>
                <c:pt idx="89">
                  <c:v>0.26335590177552509</c:v>
                </c:pt>
                <c:pt idx="90">
                  <c:v>0.26924076822260778</c:v>
                </c:pt>
                <c:pt idx="91">
                  <c:v>0.27519066081827703</c:v>
                </c:pt>
                <c:pt idx="92">
                  <c:v>0.28120557956253289</c:v>
                </c:pt>
                <c:pt idx="93">
                  <c:v>0.28728552445537531</c:v>
                </c:pt>
                <c:pt idx="94">
                  <c:v>0.29343049549680417</c:v>
                </c:pt>
                <c:pt idx="95">
                  <c:v>0.29964049268681964</c:v>
                </c:pt>
                <c:pt idx="96">
                  <c:v>0.30591551602542161</c:v>
                </c:pt>
                <c:pt idx="97">
                  <c:v>0.3122555655126103</c:v>
                </c:pt>
                <c:pt idx="98">
                  <c:v>0.31866064114838538</c:v>
                </c:pt>
                <c:pt idx="99">
                  <c:v>0.32513074293274696</c:v>
                </c:pt>
                <c:pt idx="100">
                  <c:v>0.33166587086569521</c:v>
                </c:pt>
                <c:pt idx="101">
                  <c:v>0.3382660249472299</c:v>
                </c:pt>
                <c:pt idx="102">
                  <c:v>0.34493120517735126</c:v>
                </c:pt>
                <c:pt idx="103">
                  <c:v>0.35166141155605923</c:v>
                </c:pt>
                <c:pt idx="104">
                  <c:v>0.35845664408335359</c:v>
                </c:pt>
                <c:pt idx="105">
                  <c:v>0.36531690275923451</c:v>
                </c:pt>
                <c:pt idx="106">
                  <c:v>0.37224218758370198</c:v>
                </c:pt>
                <c:pt idx="107">
                  <c:v>0.37923249855675623</c:v>
                </c:pt>
                <c:pt idx="108">
                  <c:v>0.3862878356783967</c:v>
                </c:pt>
                <c:pt idx="109">
                  <c:v>0.39340819894862383</c:v>
                </c:pt>
                <c:pt idx="110">
                  <c:v>0.40059358836743753</c:v>
                </c:pt>
                <c:pt idx="111">
                  <c:v>0.40784400393483777</c:v>
                </c:pt>
                <c:pt idx="112">
                  <c:v>0.41515944565082469</c:v>
                </c:pt>
                <c:pt idx="113">
                  <c:v>0.42253991351539805</c:v>
                </c:pt>
                <c:pt idx="114">
                  <c:v>0.42998540752855796</c:v>
                </c:pt>
                <c:pt idx="115">
                  <c:v>0.43749592769030438</c:v>
                </c:pt>
                <c:pt idx="116">
                  <c:v>0.44507147400063735</c:v>
                </c:pt>
                <c:pt idx="117">
                  <c:v>0.45271204645955693</c:v>
                </c:pt>
                <c:pt idx="118">
                  <c:v>0.46041764506706306</c:v>
                </c:pt>
                <c:pt idx="119">
                  <c:v>0.4681882698231557</c:v>
                </c:pt>
                <c:pt idx="120">
                  <c:v>0.47602392072783489</c:v>
                </c:pt>
                <c:pt idx="121">
                  <c:v>0.48392459778110058</c:v>
                </c:pt>
                <c:pt idx="122">
                  <c:v>0.49189030098295305</c:v>
                </c:pt>
                <c:pt idx="123">
                  <c:v>0.49992103033339186</c:v>
                </c:pt>
                <c:pt idx="124">
                  <c:v>0.50801678583241716</c:v>
                </c:pt>
                <c:pt idx="125">
                  <c:v>0.51617756748002908</c:v>
                </c:pt>
                <c:pt idx="126">
                  <c:v>0.5244033752762276</c:v>
                </c:pt>
                <c:pt idx="127">
                  <c:v>0.53269420922101285</c:v>
                </c:pt>
                <c:pt idx="128">
                  <c:v>0.54105006931438426</c:v>
                </c:pt>
                <c:pt idx="129">
                  <c:v>0.5494709555563424</c:v>
                </c:pt>
                <c:pt idx="130">
                  <c:v>0.55795686794688704</c:v>
                </c:pt>
                <c:pt idx="131">
                  <c:v>0.56650780648601828</c:v>
                </c:pt>
                <c:pt idx="132">
                  <c:v>0.57512377117373614</c:v>
                </c:pt>
                <c:pt idx="133">
                  <c:v>0.58380476201004061</c:v>
                </c:pt>
                <c:pt idx="134">
                  <c:v>0.59255077899493147</c:v>
                </c:pt>
                <c:pt idx="135">
                  <c:v>0.60136182212840883</c:v>
                </c:pt>
                <c:pt idx="136">
                  <c:v>0.61023789141047269</c:v>
                </c:pt>
                <c:pt idx="137">
                  <c:v>0.61917898684112349</c:v>
                </c:pt>
                <c:pt idx="138">
                  <c:v>0.62818510842036046</c:v>
                </c:pt>
                <c:pt idx="139">
                  <c:v>0.63725625614818415</c:v>
                </c:pt>
                <c:pt idx="140">
                  <c:v>0.64639243002459434</c:v>
                </c:pt>
                <c:pt idx="141">
                  <c:v>0.65559363004959093</c:v>
                </c:pt>
                <c:pt idx="142">
                  <c:v>0.66485985622317434</c:v>
                </c:pt>
                <c:pt idx="143">
                  <c:v>0.67419110854534414</c:v>
                </c:pt>
                <c:pt idx="144">
                  <c:v>0.68358738701610056</c:v>
                </c:pt>
                <c:pt idx="145">
                  <c:v>0.69304869163544358</c:v>
                </c:pt>
                <c:pt idx="146">
                  <c:v>0.702575022403373</c:v>
                </c:pt>
                <c:pt idx="147">
                  <c:v>0.71216637931988902</c:v>
                </c:pt>
                <c:pt idx="148">
                  <c:v>0.72182276238499166</c:v>
                </c:pt>
                <c:pt idx="149">
                  <c:v>0.73154417159868079</c:v>
                </c:pt>
                <c:pt idx="150">
                  <c:v>0.74133060696095643</c:v>
                </c:pt>
                <c:pt idx="151">
                  <c:v>0.75118206847181868</c:v>
                </c:pt>
                <c:pt idx="152">
                  <c:v>0.76109855613126753</c:v>
                </c:pt>
                <c:pt idx="153">
                  <c:v>0.77108006993930289</c:v>
                </c:pt>
                <c:pt idx="154">
                  <c:v>0.78112660989592475</c:v>
                </c:pt>
                <c:pt idx="155">
                  <c:v>0.791238176001133</c:v>
                </c:pt>
                <c:pt idx="156">
                  <c:v>0.80141476825492797</c:v>
                </c:pt>
                <c:pt idx="157">
                  <c:v>0.81165638665730966</c:v>
                </c:pt>
                <c:pt idx="158">
                  <c:v>0.82196303120827763</c:v>
                </c:pt>
                <c:pt idx="159">
                  <c:v>0.83233470190783232</c:v>
                </c:pt>
                <c:pt idx="160">
                  <c:v>0.84277139875597351</c:v>
                </c:pt>
                <c:pt idx="161">
                  <c:v>0.8532731217527012</c:v>
                </c:pt>
                <c:pt idx="162">
                  <c:v>0.8638398708980155</c:v>
                </c:pt>
                <c:pt idx="163">
                  <c:v>0.8744716461919162</c:v>
                </c:pt>
                <c:pt idx="164">
                  <c:v>0.88516844763440361</c:v>
                </c:pt>
                <c:pt idx="165">
                  <c:v>0.89593027522547786</c:v>
                </c:pt>
                <c:pt idx="166">
                  <c:v>0.90675712896513816</c:v>
                </c:pt>
                <c:pt idx="167">
                  <c:v>0.91764900885338518</c:v>
                </c:pt>
                <c:pt idx="168">
                  <c:v>0.9286059148902186</c:v>
                </c:pt>
                <c:pt idx="169">
                  <c:v>0.93962784707563884</c:v>
                </c:pt>
                <c:pt idx="170">
                  <c:v>0.95071480540964559</c:v>
                </c:pt>
                <c:pt idx="171">
                  <c:v>0.96186678989223862</c:v>
                </c:pt>
                <c:pt idx="172">
                  <c:v>0.97308380052341859</c:v>
                </c:pt>
                <c:pt idx="173">
                  <c:v>0.98436583730318461</c:v>
                </c:pt>
                <c:pt idx="174">
                  <c:v>0.99571290023153769</c:v>
                </c:pt>
                <c:pt idx="175">
                  <c:v>1.0071249893084773</c:v>
                </c:pt>
                <c:pt idx="176">
                  <c:v>1.018602104534003</c:v>
                </c:pt>
                <c:pt idx="177">
                  <c:v>1.0301442459081158</c:v>
                </c:pt>
                <c:pt idx="178">
                  <c:v>1.0417514134308146</c:v>
                </c:pt>
                <c:pt idx="179">
                  <c:v>1.0534236071021004</c:v>
                </c:pt>
                <c:pt idx="180">
                  <c:v>1.0651608269219726</c:v>
                </c:pt>
                <c:pt idx="181">
                  <c:v>1.0769630728904311</c:v>
                </c:pt>
                <c:pt idx="182">
                  <c:v>1.0888303450074766</c:v>
                </c:pt>
                <c:pt idx="183">
                  <c:v>1.1007626432731081</c:v>
                </c:pt>
                <c:pt idx="184">
                  <c:v>1.1127599676873265</c:v>
                </c:pt>
                <c:pt idx="185">
                  <c:v>1.1248223182501316</c:v>
                </c:pt>
                <c:pt idx="186">
                  <c:v>1.136949694961523</c:v>
                </c:pt>
                <c:pt idx="187">
                  <c:v>1.1491420978215012</c:v>
                </c:pt>
                <c:pt idx="188">
                  <c:v>1.1613995268300652</c:v>
                </c:pt>
                <c:pt idx="189">
                  <c:v>1.1737219819872167</c:v>
                </c:pt>
                <c:pt idx="190">
                  <c:v>1.1861094632929545</c:v>
                </c:pt>
                <c:pt idx="191">
                  <c:v>1.1985619707472785</c:v>
                </c:pt>
                <c:pt idx="192">
                  <c:v>1.2110795043501894</c:v>
                </c:pt>
                <c:pt idx="193">
                  <c:v>1.2236620641016864</c:v>
                </c:pt>
                <c:pt idx="194">
                  <c:v>1.2363096500017705</c:v>
                </c:pt>
                <c:pt idx="195">
                  <c:v>1.2490222620504412</c:v>
                </c:pt>
                <c:pt idx="196">
                  <c:v>1.2617999002476978</c:v>
                </c:pt>
                <c:pt idx="197">
                  <c:v>1.2746425645935415</c:v>
                </c:pt>
                <c:pt idx="198">
                  <c:v>1.2875502550879714</c:v>
                </c:pt>
                <c:pt idx="199">
                  <c:v>1.3005229717309879</c:v>
                </c:pt>
              </c:numCache>
            </c:numRef>
          </c:yVal>
          <c:smooth val="0"/>
          <c:extLst>
            <c:ext xmlns:c16="http://schemas.microsoft.com/office/drawing/2014/chart" uri="{C3380CC4-5D6E-409C-BE32-E72D297353CC}">
              <c16:uniqueId val="{00000001-CED8-8548-8BDB-E89EDCAA6827}"/>
            </c:ext>
          </c:extLst>
        </c:ser>
        <c:ser>
          <c:idx val="2"/>
          <c:order val="2"/>
          <c:tx>
            <c:v>Wanninkhof 2014 O2</c:v>
          </c:tx>
          <c:spPr>
            <a:ln w="25400" cap="rnd">
              <a:noFill/>
              <a:round/>
            </a:ln>
            <a:effectLst/>
          </c:spPr>
          <c:marker>
            <c:symbol val="circle"/>
            <c:size val="5"/>
            <c:spPr>
              <a:solidFill>
                <a:schemeClr val="accent3"/>
              </a:solidFill>
              <a:ln w="9525">
                <a:solidFill>
                  <a:schemeClr val="accent3"/>
                </a:solidFill>
              </a:ln>
              <a:effectLst/>
            </c:spPr>
          </c:marker>
          <c:xVal>
            <c:numRef>
              <c:f>'Piston Velocity'!$A$21:$A$220</c:f>
              <c:numCache>
                <c:formatCode>General</c:formatCode>
                <c:ptCount val="200"/>
                <c:pt idx="0">
                  <c:v>0.1</c:v>
                </c:pt>
                <c:pt idx="1">
                  <c:v>0.2</c:v>
                </c:pt>
                <c:pt idx="2">
                  <c:v>0.3</c:v>
                </c:pt>
                <c:pt idx="3">
                  <c:v>0.4</c:v>
                </c:pt>
                <c:pt idx="4">
                  <c:v>0.5</c:v>
                </c:pt>
                <c:pt idx="5">
                  <c:v>0.6</c:v>
                </c:pt>
                <c:pt idx="6">
                  <c:v>0.7</c:v>
                </c:pt>
                <c:pt idx="7">
                  <c:v>0.8</c:v>
                </c:pt>
                <c:pt idx="8">
                  <c:v>0.9</c:v>
                </c:pt>
                <c:pt idx="9">
                  <c:v>1</c:v>
                </c:pt>
                <c:pt idx="10">
                  <c:v>1.1000000000000001</c:v>
                </c:pt>
                <c:pt idx="11">
                  <c:v>1.2</c:v>
                </c:pt>
                <c:pt idx="12">
                  <c:v>1.3</c:v>
                </c:pt>
                <c:pt idx="13">
                  <c:v>1.4</c:v>
                </c:pt>
                <c:pt idx="14">
                  <c:v>1.5</c:v>
                </c:pt>
                <c:pt idx="15">
                  <c:v>1.6</c:v>
                </c:pt>
                <c:pt idx="16">
                  <c:v>1.7</c:v>
                </c:pt>
                <c:pt idx="17">
                  <c:v>1.8</c:v>
                </c:pt>
                <c:pt idx="18">
                  <c:v>1.9</c:v>
                </c:pt>
                <c:pt idx="19">
                  <c:v>2</c:v>
                </c:pt>
                <c:pt idx="20">
                  <c:v>2.1</c:v>
                </c:pt>
                <c:pt idx="21">
                  <c:v>2.2000000000000002</c:v>
                </c:pt>
                <c:pt idx="22">
                  <c:v>2.2999999999999998</c:v>
                </c:pt>
                <c:pt idx="23">
                  <c:v>2.4</c:v>
                </c:pt>
                <c:pt idx="24">
                  <c:v>2.5</c:v>
                </c:pt>
                <c:pt idx="25">
                  <c:v>2.6</c:v>
                </c:pt>
                <c:pt idx="26">
                  <c:v>2.7</c:v>
                </c:pt>
                <c:pt idx="27">
                  <c:v>2.8</c:v>
                </c:pt>
                <c:pt idx="28">
                  <c:v>2.9</c:v>
                </c:pt>
                <c:pt idx="29">
                  <c:v>3</c:v>
                </c:pt>
                <c:pt idx="30">
                  <c:v>3.1</c:v>
                </c:pt>
                <c:pt idx="31">
                  <c:v>3.2</c:v>
                </c:pt>
                <c:pt idx="32">
                  <c:v>3.3</c:v>
                </c:pt>
                <c:pt idx="33">
                  <c:v>3.4</c:v>
                </c:pt>
                <c:pt idx="34">
                  <c:v>3.5</c:v>
                </c:pt>
                <c:pt idx="35">
                  <c:v>3.6</c:v>
                </c:pt>
                <c:pt idx="36">
                  <c:v>3.7</c:v>
                </c:pt>
                <c:pt idx="37">
                  <c:v>3.8</c:v>
                </c:pt>
                <c:pt idx="38">
                  <c:v>3.9</c:v>
                </c:pt>
                <c:pt idx="39">
                  <c:v>4</c:v>
                </c:pt>
                <c:pt idx="40">
                  <c:v>4.0999999999999996</c:v>
                </c:pt>
                <c:pt idx="41">
                  <c:v>4.2</c:v>
                </c:pt>
                <c:pt idx="42">
                  <c:v>4.3</c:v>
                </c:pt>
                <c:pt idx="43">
                  <c:v>4.4000000000000004</c:v>
                </c:pt>
                <c:pt idx="44">
                  <c:v>4.5</c:v>
                </c:pt>
                <c:pt idx="45">
                  <c:v>4.5999999999999996</c:v>
                </c:pt>
                <c:pt idx="46">
                  <c:v>4.7</c:v>
                </c:pt>
                <c:pt idx="47">
                  <c:v>4.8</c:v>
                </c:pt>
                <c:pt idx="48">
                  <c:v>4.9000000000000004</c:v>
                </c:pt>
                <c:pt idx="49">
                  <c:v>5</c:v>
                </c:pt>
                <c:pt idx="50">
                  <c:v>5.0999999999999996</c:v>
                </c:pt>
                <c:pt idx="51">
                  <c:v>5.2</c:v>
                </c:pt>
                <c:pt idx="52">
                  <c:v>5.3</c:v>
                </c:pt>
                <c:pt idx="53">
                  <c:v>5.4</c:v>
                </c:pt>
                <c:pt idx="54">
                  <c:v>5.5</c:v>
                </c:pt>
                <c:pt idx="55">
                  <c:v>5.6</c:v>
                </c:pt>
                <c:pt idx="56">
                  <c:v>5.7</c:v>
                </c:pt>
                <c:pt idx="57">
                  <c:v>5.8</c:v>
                </c:pt>
                <c:pt idx="58">
                  <c:v>5.9</c:v>
                </c:pt>
                <c:pt idx="59">
                  <c:v>6</c:v>
                </c:pt>
                <c:pt idx="60">
                  <c:v>6.1</c:v>
                </c:pt>
                <c:pt idx="61">
                  <c:v>6.2</c:v>
                </c:pt>
                <c:pt idx="62">
                  <c:v>6.3</c:v>
                </c:pt>
                <c:pt idx="63">
                  <c:v>6.4</c:v>
                </c:pt>
                <c:pt idx="64">
                  <c:v>6.5</c:v>
                </c:pt>
                <c:pt idx="65">
                  <c:v>6.6</c:v>
                </c:pt>
                <c:pt idx="66">
                  <c:v>6.7</c:v>
                </c:pt>
                <c:pt idx="67">
                  <c:v>6.8</c:v>
                </c:pt>
                <c:pt idx="68">
                  <c:v>6.9</c:v>
                </c:pt>
                <c:pt idx="69">
                  <c:v>7</c:v>
                </c:pt>
                <c:pt idx="70">
                  <c:v>7.1</c:v>
                </c:pt>
                <c:pt idx="71">
                  <c:v>7.2</c:v>
                </c:pt>
                <c:pt idx="72">
                  <c:v>7.3</c:v>
                </c:pt>
                <c:pt idx="73">
                  <c:v>7.4</c:v>
                </c:pt>
                <c:pt idx="74">
                  <c:v>7.5</c:v>
                </c:pt>
                <c:pt idx="75">
                  <c:v>7.6</c:v>
                </c:pt>
                <c:pt idx="76">
                  <c:v>7.7</c:v>
                </c:pt>
                <c:pt idx="77">
                  <c:v>7.8</c:v>
                </c:pt>
                <c:pt idx="78">
                  <c:v>7.9</c:v>
                </c:pt>
                <c:pt idx="79">
                  <c:v>8</c:v>
                </c:pt>
                <c:pt idx="80">
                  <c:v>8.1</c:v>
                </c:pt>
                <c:pt idx="81">
                  <c:v>8.1999999999999993</c:v>
                </c:pt>
                <c:pt idx="82">
                  <c:v>8.3000000000000007</c:v>
                </c:pt>
                <c:pt idx="83">
                  <c:v>8.4</c:v>
                </c:pt>
                <c:pt idx="84">
                  <c:v>8.5</c:v>
                </c:pt>
                <c:pt idx="85">
                  <c:v>8.6</c:v>
                </c:pt>
                <c:pt idx="86">
                  <c:v>8.6999999999999993</c:v>
                </c:pt>
                <c:pt idx="87">
                  <c:v>8.8000000000000007</c:v>
                </c:pt>
                <c:pt idx="88">
                  <c:v>8.9</c:v>
                </c:pt>
                <c:pt idx="89">
                  <c:v>9</c:v>
                </c:pt>
                <c:pt idx="90">
                  <c:v>9.1</c:v>
                </c:pt>
                <c:pt idx="91">
                  <c:v>9.1999999999999993</c:v>
                </c:pt>
                <c:pt idx="92">
                  <c:v>9.3000000000000007</c:v>
                </c:pt>
                <c:pt idx="93">
                  <c:v>9.4</c:v>
                </c:pt>
                <c:pt idx="94">
                  <c:v>9.5</c:v>
                </c:pt>
                <c:pt idx="95">
                  <c:v>9.6</c:v>
                </c:pt>
                <c:pt idx="96">
                  <c:v>9.6999999999999993</c:v>
                </c:pt>
                <c:pt idx="97">
                  <c:v>9.8000000000000007</c:v>
                </c:pt>
                <c:pt idx="98">
                  <c:v>9.9</c:v>
                </c:pt>
                <c:pt idx="99">
                  <c:v>10</c:v>
                </c:pt>
                <c:pt idx="100">
                  <c:v>10.1</c:v>
                </c:pt>
                <c:pt idx="101">
                  <c:v>10.199999999999999</c:v>
                </c:pt>
                <c:pt idx="102">
                  <c:v>10.3</c:v>
                </c:pt>
                <c:pt idx="103">
                  <c:v>10.4</c:v>
                </c:pt>
                <c:pt idx="104">
                  <c:v>10.5</c:v>
                </c:pt>
                <c:pt idx="105">
                  <c:v>10.6</c:v>
                </c:pt>
                <c:pt idx="106">
                  <c:v>10.7</c:v>
                </c:pt>
                <c:pt idx="107">
                  <c:v>10.8</c:v>
                </c:pt>
                <c:pt idx="108">
                  <c:v>10.9</c:v>
                </c:pt>
                <c:pt idx="109">
                  <c:v>11</c:v>
                </c:pt>
                <c:pt idx="110">
                  <c:v>11.1</c:v>
                </c:pt>
                <c:pt idx="111">
                  <c:v>11.2</c:v>
                </c:pt>
                <c:pt idx="112">
                  <c:v>11.3</c:v>
                </c:pt>
                <c:pt idx="113">
                  <c:v>11.4</c:v>
                </c:pt>
                <c:pt idx="114">
                  <c:v>11.5</c:v>
                </c:pt>
                <c:pt idx="115">
                  <c:v>11.6</c:v>
                </c:pt>
                <c:pt idx="116">
                  <c:v>11.7</c:v>
                </c:pt>
                <c:pt idx="117">
                  <c:v>11.8</c:v>
                </c:pt>
                <c:pt idx="118">
                  <c:v>11.9</c:v>
                </c:pt>
                <c:pt idx="119">
                  <c:v>12</c:v>
                </c:pt>
                <c:pt idx="120">
                  <c:v>12.1</c:v>
                </c:pt>
                <c:pt idx="121">
                  <c:v>12.2</c:v>
                </c:pt>
                <c:pt idx="122">
                  <c:v>12.3</c:v>
                </c:pt>
                <c:pt idx="123">
                  <c:v>12.4</c:v>
                </c:pt>
                <c:pt idx="124">
                  <c:v>12.5</c:v>
                </c:pt>
                <c:pt idx="125">
                  <c:v>12.6</c:v>
                </c:pt>
                <c:pt idx="126">
                  <c:v>12.7</c:v>
                </c:pt>
                <c:pt idx="127">
                  <c:v>12.8</c:v>
                </c:pt>
                <c:pt idx="128">
                  <c:v>12.9</c:v>
                </c:pt>
                <c:pt idx="129">
                  <c:v>13</c:v>
                </c:pt>
                <c:pt idx="130">
                  <c:v>13.1</c:v>
                </c:pt>
                <c:pt idx="131">
                  <c:v>13.2</c:v>
                </c:pt>
                <c:pt idx="132">
                  <c:v>13.3</c:v>
                </c:pt>
                <c:pt idx="133">
                  <c:v>13.4</c:v>
                </c:pt>
                <c:pt idx="134">
                  <c:v>13.5</c:v>
                </c:pt>
                <c:pt idx="135">
                  <c:v>13.6</c:v>
                </c:pt>
                <c:pt idx="136">
                  <c:v>13.7</c:v>
                </c:pt>
                <c:pt idx="137">
                  <c:v>13.8</c:v>
                </c:pt>
                <c:pt idx="138">
                  <c:v>13.9</c:v>
                </c:pt>
                <c:pt idx="139">
                  <c:v>14</c:v>
                </c:pt>
                <c:pt idx="140">
                  <c:v>14.1</c:v>
                </c:pt>
                <c:pt idx="141">
                  <c:v>14.2</c:v>
                </c:pt>
                <c:pt idx="142">
                  <c:v>14.3</c:v>
                </c:pt>
                <c:pt idx="143">
                  <c:v>14.4</c:v>
                </c:pt>
                <c:pt idx="144">
                  <c:v>14.5</c:v>
                </c:pt>
                <c:pt idx="145">
                  <c:v>14.6</c:v>
                </c:pt>
                <c:pt idx="146">
                  <c:v>14.7</c:v>
                </c:pt>
                <c:pt idx="147">
                  <c:v>14.8</c:v>
                </c:pt>
                <c:pt idx="148">
                  <c:v>14.9</c:v>
                </c:pt>
                <c:pt idx="149">
                  <c:v>15</c:v>
                </c:pt>
                <c:pt idx="150">
                  <c:v>15.1</c:v>
                </c:pt>
                <c:pt idx="151">
                  <c:v>15.2</c:v>
                </c:pt>
                <c:pt idx="152">
                  <c:v>15.3</c:v>
                </c:pt>
                <c:pt idx="153">
                  <c:v>15.4</c:v>
                </c:pt>
                <c:pt idx="154">
                  <c:v>15.5</c:v>
                </c:pt>
                <c:pt idx="155">
                  <c:v>15.6</c:v>
                </c:pt>
                <c:pt idx="156">
                  <c:v>15.7</c:v>
                </c:pt>
                <c:pt idx="157">
                  <c:v>15.8</c:v>
                </c:pt>
                <c:pt idx="158">
                  <c:v>15.9</c:v>
                </c:pt>
                <c:pt idx="159">
                  <c:v>16</c:v>
                </c:pt>
                <c:pt idx="160">
                  <c:v>16.100000000000001</c:v>
                </c:pt>
                <c:pt idx="161">
                  <c:v>16.2</c:v>
                </c:pt>
                <c:pt idx="162">
                  <c:v>16.3</c:v>
                </c:pt>
                <c:pt idx="163">
                  <c:v>16.399999999999999</c:v>
                </c:pt>
                <c:pt idx="164">
                  <c:v>16.5</c:v>
                </c:pt>
                <c:pt idx="165">
                  <c:v>16.600000000000001</c:v>
                </c:pt>
                <c:pt idx="166">
                  <c:v>16.7</c:v>
                </c:pt>
                <c:pt idx="167">
                  <c:v>16.8</c:v>
                </c:pt>
                <c:pt idx="168">
                  <c:v>16.899999999999999</c:v>
                </c:pt>
                <c:pt idx="169">
                  <c:v>17</c:v>
                </c:pt>
                <c:pt idx="170">
                  <c:v>17.100000000000001</c:v>
                </c:pt>
                <c:pt idx="171">
                  <c:v>17.2</c:v>
                </c:pt>
                <c:pt idx="172">
                  <c:v>17.3</c:v>
                </c:pt>
                <c:pt idx="173">
                  <c:v>17.399999999999999</c:v>
                </c:pt>
                <c:pt idx="174">
                  <c:v>17.5</c:v>
                </c:pt>
                <c:pt idx="175">
                  <c:v>17.600000000000001</c:v>
                </c:pt>
                <c:pt idx="176">
                  <c:v>17.7</c:v>
                </c:pt>
                <c:pt idx="177">
                  <c:v>17.8</c:v>
                </c:pt>
                <c:pt idx="178">
                  <c:v>17.899999999999999</c:v>
                </c:pt>
                <c:pt idx="179">
                  <c:v>18</c:v>
                </c:pt>
                <c:pt idx="180">
                  <c:v>18.100000000000001</c:v>
                </c:pt>
                <c:pt idx="181">
                  <c:v>18.2</c:v>
                </c:pt>
                <c:pt idx="182">
                  <c:v>18.3</c:v>
                </c:pt>
                <c:pt idx="183">
                  <c:v>18.399999999999999</c:v>
                </c:pt>
                <c:pt idx="184">
                  <c:v>18.5</c:v>
                </c:pt>
                <c:pt idx="185">
                  <c:v>18.600000000000001</c:v>
                </c:pt>
                <c:pt idx="186">
                  <c:v>18.7</c:v>
                </c:pt>
                <c:pt idx="187">
                  <c:v>18.8</c:v>
                </c:pt>
                <c:pt idx="188">
                  <c:v>18.899999999999999</c:v>
                </c:pt>
                <c:pt idx="189">
                  <c:v>19</c:v>
                </c:pt>
                <c:pt idx="190">
                  <c:v>19.100000000000001</c:v>
                </c:pt>
                <c:pt idx="191">
                  <c:v>19.2</c:v>
                </c:pt>
                <c:pt idx="192">
                  <c:v>19.3</c:v>
                </c:pt>
                <c:pt idx="193">
                  <c:v>19.399999999999999</c:v>
                </c:pt>
                <c:pt idx="194">
                  <c:v>19.5</c:v>
                </c:pt>
                <c:pt idx="195">
                  <c:v>19.600000000000001</c:v>
                </c:pt>
                <c:pt idx="196">
                  <c:v>19.7</c:v>
                </c:pt>
                <c:pt idx="197">
                  <c:v>19.8</c:v>
                </c:pt>
                <c:pt idx="198">
                  <c:v>19.899999999999999</c:v>
                </c:pt>
                <c:pt idx="199">
                  <c:v>20</c:v>
                </c:pt>
              </c:numCache>
            </c:numRef>
          </c:xVal>
          <c:yVal>
            <c:numRef>
              <c:f>'Piston Velocity'!$G$21:$G$220</c:f>
              <c:numCache>
                <c:formatCode>General</c:formatCode>
                <c:ptCount val="200"/>
                <c:pt idx="0">
                  <c:v>3.4497872948295869E-5</c:v>
                </c:pt>
                <c:pt idx="1">
                  <c:v>1.3799149179318348E-4</c:v>
                </c:pt>
                <c:pt idx="2">
                  <c:v>3.1048085653466277E-4</c:v>
                </c:pt>
                <c:pt idx="3">
                  <c:v>5.519659671727339E-4</c:v>
                </c:pt>
                <c:pt idx="4">
                  <c:v>8.6244682370739667E-4</c:v>
                </c:pt>
                <c:pt idx="5">
                  <c:v>1.2419234261386511E-3</c:v>
                </c:pt>
                <c:pt idx="6">
                  <c:v>1.6903957744664971E-3</c:v>
                </c:pt>
                <c:pt idx="7">
                  <c:v>2.2078638686909356E-3</c:v>
                </c:pt>
                <c:pt idx="8">
                  <c:v>2.7943277088119649E-3</c:v>
                </c:pt>
                <c:pt idx="9">
                  <c:v>3.4497872948295867E-3</c:v>
                </c:pt>
                <c:pt idx="10">
                  <c:v>4.1742426267438E-3</c:v>
                </c:pt>
                <c:pt idx="11">
                  <c:v>4.9676937045546044E-3</c:v>
                </c:pt>
                <c:pt idx="12">
                  <c:v>5.830140528262002E-3</c:v>
                </c:pt>
                <c:pt idx="13">
                  <c:v>6.7615830978659886E-3</c:v>
                </c:pt>
                <c:pt idx="14">
                  <c:v>7.7620214133665684E-3</c:v>
                </c:pt>
                <c:pt idx="15">
                  <c:v>8.8314554747637424E-3</c:v>
                </c:pt>
                <c:pt idx="16">
                  <c:v>9.9698852820575019E-3</c:v>
                </c:pt>
                <c:pt idx="17">
                  <c:v>1.117731083524786E-2</c:v>
                </c:pt>
                <c:pt idx="18">
                  <c:v>1.2453732134334808E-2</c:v>
                </c:pt>
                <c:pt idx="19">
                  <c:v>1.3799149179318347E-2</c:v>
                </c:pt>
                <c:pt idx="20">
                  <c:v>1.5213561970198478E-2</c:v>
                </c:pt>
                <c:pt idx="21">
                  <c:v>1.66969705069752E-2</c:v>
                </c:pt>
                <c:pt idx="22">
                  <c:v>1.8249374789648509E-2</c:v>
                </c:pt>
                <c:pt idx="23">
                  <c:v>1.9870774818218417E-2</c:v>
                </c:pt>
                <c:pt idx="24">
                  <c:v>2.1561170592684916E-2</c:v>
                </c:pt>
                <c:pt idx="25">
                  <c:v>2.3320562113048008E-2</c:v>
                </c:pt>
                <c:pt idx="26">
                  <c:v>2.514894937930769E-2</c:v>
                </c:pt>
                <c:pt idx="27">
                  <c:v>2.7046332391463954E-2</c:v>
                </c:pt>
                <c:pt idx="28">
                  <c:v>2.9012711149516823E-2</c:v>
                </c:pt>
                <c:pt idx="29">
                  <c:v>3.1048085653466274E-2</c:v>
                </c:pt>
                <c:pt idx="30">
                  <c:v>3.3152455903312325E-2</c:v>
                </c:pt>
                <c:pt idx="31">
                  <c:v>3.532582189905497E-2</c:v>
                </c:pt>
                <c:pt idx="32">
                  <c:v>3.756818364069419E-2</c:v>
                </c:pt>
                <c:pt idx="33">
                  <c:v>3.9879541128230007E-2</c:v>
                </c:pt>
                <c:pt idx="34">
                  <c:v>4.2259894361662428E-2</c:v>
                </c:pt>
                <c:pt idx="35">
                  <c:v>4.4709243340991439E-2</c:v>
                </c:pt>
                <c:pt idx="36">
                  <c:v>4.7227588066217047E-2</c:v>
                </c:pt>
                <c:pt idx="37">
                  <c:v>4.981492853733923E-2</c:v>
                </c:pt>
                <c:pt idx="38">
                  <c:v>5.247126475435801E-2</c:v>
                </c:pt>
                <c:pt idx="39">
                  <c:v>5.5196596717273387E-2</c:v>
                </c:pt>
                <c:pt idx="40">
                  <c:v>5.7990924426085347E-2</c:v>
                </c:pt>
                <c:pt idx="41">
                  <c:v>6.085424788079391E-2</c:v>
                </c:pt>
                <c:pt idx="42">
                  <c:v>6.3786567081399043E-2</c:v>
                </c:pt>
                <c:pt idx="43">
                  <c:v>6.67878820279008E-2</c:v>
                </c:pt>
                <c:pt idx="44">
                  <c:v>6.9858192720299125E-2</c:v>
                </c:pt>
                <c:pt idx="45">
                  <c:v>7.2997499158594034E-2</c:v>
                </c:pt>
                <c:pt idx="46">
                  <c:v>7.6205801342785581E-2</c:v>
                </c:pt>
                <c:pt idx="47">
                  <c:v>7.948309927287367E-2</c:v>
                </c:pt>
                <c:pt idx="48">
                  <c:v>8.2829392948858369E-2</c:v>
                </c:pt>
                <c:pt idx="49">
                  <c:v>8.6244682370739664E-2</c:v>
                </c:pt>
                <c:pt idx="50">
                  <c:v>8.9728967538517529E-2</c:v>
                </c:pt>
                <c:pt idx="51">
                  <c:v>9.3282248452192032E-2</c:v>
                </c:pt>
                <c:pt idx="52">
                  <c:v>9.6904525111763076E-2</c:v>
                </c:pt>
                <c:pt idx="53">
                  <c:v>0.10059579751723076</c:v>
                </c:pt>
                <c:pt idx="54">
                  <c:v>0.10435606566859498</c:v>
                </c:pt>
                <c:pt idx="55">
                  <c:v>0.10818532956585582</c:v>
                </c:pt>
                <c:pt idx="56">
                  <c:v>0.11208358920901325</c:v>
                </c:pt>
                <c:pt idx="57">
                  <c:v>0.11605084459806729</c:v>
                </c:pt>
                <c:pt idx="58">
                  <c:v>0.12008709573301792</c:v>
                </c:pt>
                <c:pt idx="59">
                  <c:v>0.12419234261386509</c:v>
                </c:pt>
                <c:pt idx="60">
                  <c:v>0.1283665852406089</c:v>
                </c:pt>
                <c:pt idx="61">
                  <c:v>0.1326098236132493</c:v>
                </c:pt>
                <c:pt idx="62">
                  <c:v>0.13692205773178628</c:v>
                </c:pt>
                <c:pt idx="63">
                  <c:v>0.14130328759621988</c:v>
                </c:pt>
                <c:pt idx="64">
                  <c:v>0.14575351320655</c:v>
                </c:pt>
                <c:pt idx="65">
                  <c:v>0.15027273456277676</c:v>
                </c:pt>
                <c:pt idx="66">
                  <c:v>0.15486095166490013</c:v>
                </c:pt>
                <c:pt idx="67">
                  <c:v>0.15951816451292003</c:v>
                </c:pt>
                <c:pt idx="68">
                  <c:v>0.16424437310683665</c:v>
                </c:pt>
                <c:pt idx="69">
                  <c:v>0.16903957744664971</c:v>
                </c:pt>
                <c:pt idx="70">
                  <c:v>0.17390377753235942</c:v>
                </c:pt>
                <c:pt idx="71">
                  <c:v>0.17883697336396576</c:v>
                </c:pt>
                <c:pt idx="72">
                  <c:v>0.18383916494146868</c:v>
                </c:pt>
                <c:pt idx="73">
                  <c:v>0.18891035226486819</c:v>
                </c:pt>
                <c:pt idx="74">
                  <c:v>0.19405053533416425</c:v>
                </c:pt>
                <c:pt idx="75">
                  <c:v>0.19925971414935692</c:v>
                </c:pt>
                <c:pt idx="76">
                  <c:v>0.2045378887104462</c:v>
                </c:pt>
                <c:pt idx="77">
                  <c:v>0.20988505901743204</c:v>
                </c:pt>
                <c:pt idx="78">
                  <c:v>0.21530122507031449</c:v>
                </c:pt>
                <c:pt idx="79">
                  <c:v>0.22078638686909355</c:v>
                </c:pt>
                <c:pt idx="80">
                  <c:v>0.22634054441376913</c:v>
                </c:pt>
                <c:pt idx="81">
                  <c:v>0.23196369770434139</c:v>
                </c:pt>
                <c:pt idx="82">
                  <c:v>0.23765584674081025</c:v>
                </c:pt>
                <c:pt idx="83">
                  <c:v>0.24341699152317564</c:v>
                </c:pt>
                <c:pt idx="84">
                  <c:v>0.24924713205143761</c:v>
                </c:pt>
                <c:pt idx="85">
                  <c:v>0.25514626832559617</c:v>
                </c:pt>
                <c:pt idx="86">
                  <c:v>0.26111440034565137</c:v>
                </c:pt>
                <c:pt idx="87">
                  <c:v>0.2671515281116032</c:v>
                </c:pt>
                <c:pt idx="88">
                  <c:v>0.27325765162345156</c:v>
                </c:pt>
                <c:pt idx="89">
                  <c:v>0.2794327708811965</c:v>
                </c:pt>
                <c:pt idx="90">
                  <c:v>0.28567688588483797</c:v>
                </c:pt>
                <c:pt idx="91">
                  <c:v>0.29198999663437614</c:v>
                </c:pt>
                <c:pt idx="92">
                  <c:v>0.29837210312981094</c:v>
                </c:pt>
                <c:pt idx="93">
                  <c:v>0.30482320537114233</c:v>
                </c:pt>
                <c:pt idx="94">
                  <c:v>0.31134330335837018</c:v>
                </c:pt>
                <c:pt idx="95">
                  <c:v>0.31793239709149468</c:v>
                </c:pt>
                <c:pt idx="96">
                  <c:v>0.32459048657051576</c:v>
                </c:pt>
                <c:pt idx="97">
                  <c:v>0.33131757179543347</c:v>
                </c:pt>
                <c:pt idx="98">
                  <c:v>0.33811365276624777</c:v>
                </c:pt>
                <c:pt idx="99">
                  <c:v>0.34497872948295866</c:v>
                </c:pt>
                <c:pt idx="100">
                  <c:v>0.35191280194556607</c:v>
                </c:pt>
                <c:pt idx="101">
                  <c:v>0.35891587015407012</c:v>
                </c:pt>
                <c:pt idx="102">
                  <c:v>0.36598793410847091</c:v>
                </c:pt>
                <c:pt idx="103">
                  <c:v>0.37312899380876813</c:v>
                </c:pt>
                <c:pt idx="104">
                  <c:v>0.38033904925496187</c:v>
                </c:pt>
                <c:pt idx="105">
                  <c:v>0.38761810044705231</c:v>
                </c:pt>
                <c:pt idx="106">
                  <c:v>0.39496614738503927</c:v>
                </c:pt>
                <c:pt idx="107">
                  <c:v>0.40238319006892304</c:v>
                </c:pt>
                <c:pt idx="108">
                  <c:v>0.40986922849870316</c:v>
                </c:pt>
                <c:pt idx="109">
                  <c:v>0.41742426267437993</c:v>
                </c:pt>
                <c:pt idx="110">
                  <c:v>0.42504829259595334</c:v>
                </c:pt>
                <c:pt idx="111">
                  <c:v>0.43274131826342327</c:v>
                </c:pt>
                <c:pt idx="112">
                  <c:v>0.4405033396767899</c:v>
                </c:pt>
                <c:pt idx="113">
                  <c:v>0.44833435683605299</c:v>
                </c:pt>
                <c:pt idx="114">
                  <c:v>0.45623436974121279</c:v>
                </c:pt>
                <c:pt idx="115">
                  <c:v>0.46420337839226916</c:v>
                </c:pt>
                <c:pt idx="116">
                  <c:v>0.47224138278922206</c:v>
                </c:pt>
                <c:pt idx="117">
                  <c:v>0.48034838293207166</c:v>
                </c:pt>
                <c:pt idx="118">
                  <c:v>0.48852437882081778</c:v>
                </c:pt>
                <c:pt idx="119">
                  <c:v>0.49676937045546038</c:v>
                </c:pt>
                <c:pt idx="120">
                  <c:v>0.50508335783599978</c:v>
                </c:pt>
                <c:pt idx="121">
                  <c:v>0.5134663409624356</c:v>
                </c:pt>
                <c:pt idx="122">
                  <c:v>0.52191831983476822</c:v>
                </c:pt>
                <c:pt idx="123">
                  <c:v>0.5304392944529972</c:v>
                </c:pt>
                <c:pt idx="124">
                  <c:v>0.53902926481712288</c:v>
                </c:pt>
                <c:pt idx="125">
                  <c:v>0.54768823092714514</c:v>
                </c:pt>
                <c:pt idx="126">
                  <c:v>0.55641619278306398</c:v>
                </c:pt>
                <c:pt idx="127">
                  <c:v>0.56521315038487951</c:v>
                </c:pt>
                <c:pt idx="128">
                  <c:v>0.57407910373259141</c:v>
                </c:pt>
                <c:pt idx="129">
                  <c:v>0.5830140528262</c:v>
                </c:pt>
                <c:pt idx="130">
                  <c:v>0.59201799766570529</c:v>
                </c:pt>
                <c:pt idx="131">
                  <c:v>0.60109093825110704</c:v>
                </c:pt>
                <c:pt idx="132">
                  <c:v>0.6102328745824056</c:v>
                </c:pt>
                <c:pt idx="133">
                  <c:v>0.61944380665960053</c:v>
                </c:pt>
                <c:pt idx="134">
                  <c:v>0.62872373448269214</c:v>
                </c:pt>
                <c:pt idx="135">
                  <c:v>0.63807265805168012</c:v>
                </c:pt>
                <c:pt idx="136">
                  <c:v>0.64749057736656501</c:v>
                </c:pt>
                <c:pt idx="137">
                  <c:v>0.6569774924273466</c:v>
                </c:pt>
                <c:pt idx="138">
                  <c:v>0.66653340323402444</c:v>
                </c:pt>
                <c:pt idx="139">
                  <c:v>0.67615830978659885</c:v>
                </c:pt>
                <c:pt idx="140">
                  <c:v>0.68585221208507008</c:v>
                </c:pt>
                <c:pt idx="141">
                  <c:v>0.69561511012943766</c:v>
                </c:pt>
                <c:pt idx="142">
                  <c:v>0.70544700391970205</c:v>
                </c:pt>
                <c:pt idx="143">
                  <c:v>0.71534789345586303</c:v>
                </c:pt>
                <c:pt idx="144">
                  <c:v>0.72531777873792047</c:v>
                </c:pt>
                <c:pt idx="145">
                  <c:v>0.73535665976587472</c:v>
                </c:pt>
                <c:pt idx="146">
                  <c:v>0.74546453653972522</c:v>
                </c:pt>
                <c:pt idx="147">
                  <c:v>0.75564140905947275</c:v>
                </c:pt>
                <c:pt idx="148">
                  <c:v>0.76588727732511641</c:v>
                </c:pt>
                <c:pt idx="149">
                  <c:v>0.77620214133665699</c:v>
                </c:pt>
                <c:pt idx="150">
                  <c:v>0.78658600109409393</c:v>
                </c:pt>
                <c:pt idx="151">
                  <c:v>0.79703885659742768</c:v>
                </c:pt>
                <c:pt idx="152">
                  <c:v>0.8075607078466579</c:v>
                </c:pt>
                <c:pt idx="153">
                  <c:v>0.81815155484178481</c:v>
                </c:pt>
                <c:pt idx="154">
                  <c:v>0.82881139758280808</c:v>
                </c:pt>
                <c:pt idx="155">
                  <c:v>0.83954023606972816</c:v>
                </c:pt>
                <c:pt idx="156">
                  <c:v>0.8503380703025446</c:v>
                </c:pt>
                <c:pt idx="157">
                  <c:v>0.86120490028125796</c:v>
                </c:pt>
                <c:pt idx="158">
                  <c:v>0.87214072600586778</c:v>
                </c:pt>
                <c:pt idx="159">
                  <c:v>0.88314554747637419</c:v>
                </c:pt>
                <c:pt idx="160">
                  <c:v>0.89421936469277707</c:v>
                </c:pt>
                <c:pt idx="161">
                  <c:v>0.90536217765507654</c:v>
                </c:pt>
                <c:pt idx="162">
                  <c:v>0.91657398636327292</c:v>
                </c:pt>
                <c:pt idx="163">
                  <c:v>0.92785479081736555</c:v>
                </c:pt>
                <c:pt idx="164">
                  <c:v>0.93920459101735487</c:v>
                </c:pt>
                <c:pt idx="165">
                  <c:v>0.950623386963241</c:v>
                </c:pt>
                <c:pt idx="166">
                  <c:v>0.96211117865502327</c:v>
                </c:pt>
                <c:pt idx="167">
                  <c:v>0.97366796609270256</c:v>
                </c:pt>
                <c:pt idx="168">
                  <c:v>0.98529374927627811</c:v>
                </c:pt>
                <c:pt idx="169">
                  <c:v>0.99698852820575046</c:v>
                </c:pt>
                <c:pt idx="170">
                  <c:v>1.0087523028811196</c:v>
                </c:pt>
                <c:pt idx="171">
                  <c:v>1.0205850733023847</c:v>
                </c:pt>
                <c:pt idx="172">
                  <c:v>1.032486839469547</c:v>
                </c:pt>
                <c:pt idx="173">
                  <c:v>1.0444576013826055</c:v>
                </c:pt>
                <c:pt idx="174">
                  <c:v>1.0564973590415609</c:v>
                </c:pt>
                <c:pt idx="175">
                  <c:v>1.0686061124464128</c:v>
                </c:pt>
                <c:pt idx="176">
                  <c:v>1.080783861597161</c:v>
                </c:pt>
                <c:pt idx="177">
                  <c:v>1.0930306064938062</c:v>
                </c:pt>
                <c:pt idx="178">
                  <c:v>1.1053463471363476</c:v>
                </c:pt>
                <c:pt idx="179">
                  <c:v>1.117731083524786</c:v>
                </c:pt>
                <c:pt idx="180">
                  <c:v>1.1301848156591212</c:v>
                </c:pt>
                <c:pt idx="181">
                  <c:v>1.1427075435393519</c:v>
                </c:pt>
                <c:pt idx="182">
                  <c:v>1.1552992671654803</c:v>
                </c:pt>
                <c:pt idx="183">
                  <c:v>1.1679599865375045</c:v>
                </c:pt>
                <c:pt idx="184">
                  <c:v>1.1806897016554261</c:v>
                </c:pt>
                <c:pt idx="185">
                  <c:v>1.1934884125192438</c:v>
                </c:pt>
                <c:pt idx="186">
                  <c:v>1.206356119128958</c:v>
                </c:pt>
                <c:pt idx="187">
                  <c:v>1.2192928214845693</c:v>
                </c:pt>
                <c:pt idx="188">
                  <c:v>1.2322985195860763</c:v>
                </c:pt>
                <c:pt idx="189">
                  <c:v>1.2453732134334807</c:v>
                </c:pt>
                <c:pt idx="190">
                  <c:v>1.2585169030267815</c:v>
                </c:pt>
                <c:pt idx="191">
                  <c:v>1.2717295883659787</c:v>
                </c:pt>
                <c:pt idx="192">
                  <c:v>1.2850112694510727</c:v>
                </c:pt>
                <c:pt idx="193">
                  <c:v>1.298361946282063</c:v>
                </c:pt>
                <c:pt idx="194">
                  <c:v>1.3117816188589504</c:v>
                </c:pt>
                <c:pt idx="195">
                  <c:v>1.3252702871817339</c:v>
                </c:pt>
                <c:pt idx="196">
                  <c:v>1.3388279512504142</c:v>
                </c:pt>
                <c:pt idx="197">
                  <c:v>1.3524546110649911</c:v>
                </c:pt>
                <c:pt idx="198">
                  <c:v>1.3661502666254643</c:v>
                </c:pt>
                <c:pt idx="199">
                  <c:v>1.3799149179318346</c:v>
                </c:pt>
              </c:numCache>
            </c:numRef>
          </c:yVal>
          <c:smooth val="0"/>
          <c:extLst>
            <c:ext xmlns:c16="http://schemas.microsoft.com/office/drawing/2014/chart" uri="{C3380CC4-5D6E-409C-BE32-E72D297353CC}">
              <c16:uniqueId val="{00000002-CED8-8548-8BDB-E89EDCAA6827}"/>
            </c:ext>
          </c:extLst>
        </c:ser>
        <c:ser>
          <c:idx val="3"/>
          <c:order val="3"/>
          <c:tx>
            <c:v>Wanninkhof 2014 CO2</c:v>
          </c:tx>
          <c:spPr>
            <a:ln w="25400" cap="rnd">
              <a:noFill/>
              <a:round/>
            </a:ln>
            <a:effectLst/>
          </c:spPr>
          <c:marker>
            <c:symbol val="circle"/>
            <c:size val="5"/>
            <c:spPr>
              <a:solidFill>
                <a:schemeClr val="accent4"/>
              </a:solidFill>
              <a:ln w="9525">
                <a:solidFill>
                  <a:schemeClr val="accent4"/>
                </a:solidFill>
              </a:ln>
              <a:effectLst/>
            </c:spPr>
          </c:marker>
          <c:xVal>
            <c:numRef>
              <c:f>'Piston Velocity'!$A$21:$A$220</c:f>
              <c:numCache>
                <c:formatCode>General</c:formatCode>
                <c:ptCount val="200"/>
                <c:pt idx="0">
                  <c:v>0.1</c:v>
                </c:pt>
                <c:pt idx="1">
                  <c:v>0.2</c:v>
                </c:pt>
                <c:pt idx="2">
                  <c:v>0.3</c:v>
                </c:pt>
                <c:pt idx="3">
                  <c:v>0.4</c:v>
                </c:pt>
                <c:pt idx="4">
                  <c:v>0.5</c:v>
                </c:pt>
                <c:pt idx="5">
                  <c:v>0.6</c:v>
                </c:pt>
                <c:pt idx="6">
                  <c:v>0.7</c:v>
                </c:pt>
                <c:pt idx="7">
                  <c:v>0.8</c:v>
                </c:pt>
                <c:pt idx="8">
                  <c:v>0.9</c:v>
                </c:pt>
                <c:pt idx="9">
                  <c:v>1</c:v>
                </c:pt>
                <c:pt idx="10">
                  <c:v>1.1000000000000001</c:v>
                </c:pt>
                <c:pt idx="11">
                  <c:v>1.2</c:v>
                </c:pt>
                <c:pt idx="12">
                  <c:v>1.3</c:v>
                </c:pt>
                <c:pt idx="13">
                  <c:v>1.4</c:v>
                </c:pt>
                <c:pt idx="14">
                  <c:v>1.5</c:v>
                </c:pt>
                <c:pt idx="15">
                  <c:v>1.6</c:v>
                </c:pt>
                <c:pt idx="16">
                  <c:v>1.7</c:v>
                </c:pt>
                <c:pt idx="17">
                  <c:v>1.8</c:v>
                </c:pt>
                <c:pt idx="18">
                  <c:v>1.9</c:v>
                </c:pt>
                <c:pt idx="19">
                  <c:v>2</c:v>
                </c:pt>
                <c:pt idx="20">
                  <c:v>2.1</c:v>
                </c:pt>
                <c:pt idx="21">
                  <c:v>2.2000000000000002</c:v>
                </c:pt>
                <c:pt idx="22">
                  <c:v>2.2999999999999998</c:v>
                </c:pt>
                <c:pt idx="23">
                  <c:v>2.4</c:v>
                </c:pt>
                <c:pt idx="24">
                  <c:v>2.5</c:v>
                </c:pt>
                <c:pt idx="25">
                  <c:v>2.6</c:v>
                </c:pt>
                <c:pt idx="26">
                  <c:v>2.7</c:v>
                </c:pt>
                <c:pt idx="27">
                  <c:v>2.8</c:v>
                </c:pt>
                <c:pt idx="28">
                  <c:v>2.9</c:v>
                </c:pt>
                <c:pt idx="29">
                  <c:v>3</c:v>
                </c:pt>
                <c:pt idx="30">
                  <c:v>3.1</c:v>
                </c:pt>
                <c:pt idx="31">
                  <c:v>3.2</c:v>
                </c:pt>
                <c:pt idx="32">
                  <c:v>3.3</c:v>
                </c:pt>
                <c:pt idx="33">
                  <c:v>3.4</c:v>
                </c:pt>
                <c:pt idx="34">
                  <c:v>3.5</c:v>
                </c:pt>
                <c:pt idx="35">
                  <c:v>3.6</c:v>
                </c:pt>
                <c:pt idx="36">
                  <c:v>3.7</c:v>
                </c:pt>
                <c:pt idx="37">
                  <c:v>3.8</c:v>
                </c:pt>
                <c:pt idx="38">
                  <c:v>3.9</c:v>
                </c:pt>
                <c:pt idx="39">
                  <c:v>4</c:v>
                </c:pt>
                <c:pt idx="40">
                  <c:v>4.0999999999999996</c:v>
                </c:pt>
                <c:pt idx="41">
                  <c:v>4.2</c:v>
                </c:pt>
                <c:pt idx="42">
                  <c:v>4.3</c:v>
                </c:pt>
                <c:pt idx="43">
                  <c:v>4.4000000000000004</c:v>
                </c:pt>
                <c:pt idx="44">
                  <c:v>4.5</c:v>
                </c:pt>
                <c:pt idx="45">
                  <c:v>4.5999999999999996</c:v>
                </c:pt>
                <c:pt idx="46">
                  <c:v>4.7</c:v>
                </c:pt>
                <c:pt idx="47">
                  <c:v>4.8</c:v>
                </c:pt>
                <c:pt idx="48">
                  <c:v>4.9000000000000004</c:v>
                </c:pt>
                <c:pt idx="49">
                  <c:v>5</c:v>
                </c:pt>
                <c:pt idx="50">
                  <c:v>5.0999999999999996</c:v>
                </c:pt>
                <c:pt idx="51">
                  <c:v>5.2</c:v>
                </c:pt>
                <c:pt idx="52">
                  <c:v>5.3</c:v>
                </c:pt>
                <c:pt idx="53">
                  <c:v>5.4</c:v>
                </c:pt>
                <c:pt idx="54">
                  <c:v>5.5</c:v>
                </c:pt>
                <c:pt idx="55">
                  <c:v>5.6</c:v>
                </c:pt>
                <c:pt idx="56">
                  <c:v>5.7</c:v>
                </c:pt>
                <c:pt idx="57">
                  <c:v>5.8</c:v>
                </c:pt>
                <c:pt idx="58">
                  <c:v>5.9</c:v>
                </c:pt>
                <c:pt idx="59">
                  <c:v>6</c:v>
                </c:pt>
                <c:pt idx="60">
                  <c:v>6.1</c:v>
                </c:pt>
                <c:pt idx="61">
                  <c:v>6.2</c:v>
                </c:pt>
                <c:pt idx="62">
                  <c:v>6.3</c:v>
                </c:pt>
                <c:pt idx="63">
                  <c:v>6.4</c:v>
                </c:pt>
                <c:pt idx="64">
                  <c:v>6.5</c:v>
                </c:pt>
                <c:pt idx="65">
                  <c:v>6.6</c:v>
                </c:pt>
                <c:pt idx="66">
                  <c:v>6.7</c:v>
                </c:pt>
                <c:pt idx="67">
                  <c:v>6.8</c:v>
                </c:pt>
                <c:pt idx="68">
                  <c:v>6.9</c:v>
                </c:pt>
                <c:pt idx="69">
                  <c:v>7</c:v>
                </c:pt>
                <c:pt idx="70">
                  <c:v>7.1</c:v>
                </c:pt>
                <c:pt idx="71">
                  <c:v>7.2</c:v>
                </c:pt>
                <c:pt idx="72">
                  <c:v>7.3</c:v>
                </c:pt>
                <c:pt idx="73">
                  <c:v>7.4</c:v>
                </c:pt>
                <c:pt idx="74">
                  <c:v>7.5</c:v>
                </c:pt>
                <c:pt idx="75">
                  <c:v>7.6</c:v>
                </c:pt>
                <c:pt idx="76">
                  <c:v>7.7</c:v>
                </c:pt>
                <c:pt idx="77">
                  <c:v>7.8</c:v>
                </c:pt>
                <c:pt idx="78">
                  <c:v>7.9</c:v>
                </c:pt>
                <c:pt idx="79">
                  <c:v>8</c:v>
                </c:pt>
                <c:pt idx="80">
                  <c:v>8.1</c:v>
                </c:pt>
                <c:pt idx="81">
                  <c:v>8.1999999999999993</c:v>
                </c:pt>
                <c:pt idx="82">
                  <c:v>8.3000000000000007</c:v>
                </c:pt>
                <c:pt idx="83">
                  <c:v>8.4</c:v>
                </c:pt>
                <c:pt idx="84">
                  <c:v>8.5</c:v>
                </c:pt>
                <c:pt idx="85">
                  <c:v>8.6</c:v>
                </c:pt>
                <c:pt idx="86">
                  <c:v>8.6999999999999993</c:v>
                </c:pt>
                <c:pt idx="87">
                  <c:v>8.8000000000000007</c:v>
                </c:pt>
                <c:pt idx="88">
                  <c:v>8.9</c:v>
                </c:pt>
                <c:pt idx="89">
                  <c:v>9</c:v>
                </c:pt>
                <c:pt idx="90">
                  <c:v>9.1</c:v>
                </c:pt>
                <c:pt idx="91">
                  <c:v>9.1999999999999993</c:v>
                </c:pt>
                <c:pt idx="92">
                  <c:v>9.3000000000000007</c:v>
                </c:pt>
                <c:pt idx="93">
                  <c:v>9.4</c:v>
                </c:pt>
                <c:pt idx="94">
                  <c:v>9.5</c:v>
                </c:pt>
                <c:pt idx="95">
                  <c:v>9.6</c:v>
                </c:pt>
                <c:pt idx="96">
                  <c:v>9.6999999999999993</c:v>
                </c:pt>
                <c:pt idx="97">
                  <c:v>9.8000000000000007</c:v>
                </c:pt>
                <c:pt idx="98">
                  <c:v>9.9</c:v>
                </c:pt>
                <c:pt idx="99">
                  <c:v>10</c:v>
                </c:pt>
                <c:pt idx="100">
                  <c:v>10.1</c:v>
                </c:pt>
                <c:pt idx="101">
                  <c:v>10.199999999999999</c:v>
                </c:pt>
                <c:pt idx="102">
                  <c:v>10.3</c:v>
                </c:pt>
                <c:pt idx="103">
                  <c:v>10.4</c:v>
                </c:pt>
                <c:pt idx="104">
                  <c:v>10.5</c:v>
                </c:pt>
                <c:pt idx="105">
                  <c:v>10.6</c:v>
                </c:pt>
                <c:pt idx="106">
                  <c:v>10.7</c:v>
                </c:pt>
                <c:pt idx="107">
                  <c:v>10.8</c:v>
                </c:pt>
                <c:pt idx="108">
                  <c:v>10.9</c:v>
                </c:pt>
                <c:pt idx="109">
                  <c:v>11</c:v>
                </c:pt>
                <c:pt idx="110">
                  <c:v>11.1</c:v>
                </c:pt>
                <c:pt idx="111">
                  <c:v>11.2</c:v>
                </c:pt>
                <c:pt idx="112">
                  <c:v>11.3</c:v>
                </c:pt>
                <c:pt idx="113">
                  <c:v>11.4</c:v>
                </c:pt>
                <c:pt idx="114">
                  <c:v>11.5</c:v>
                </c:pt>
                <c:pt idx="115">
                  <c:v>11.6</c:v>
                </c:pt>
                <c:pt idx="116">
                  <c:v>11.7</c:v>
                </c:pt>
                <c:pt idx="117">
                  <c:v>11.8</c:v>
                </c:pt>
                <c:pt idx="118">
                  <c:v>11.9</c:v>
                </c:pt>
                <c:pt idx="119">
                  <c:v>12</c:v>
                </c:pt>
                <c:pt idx="120">
                  <c:v>12.1</c:v>
                </c:pt>
                <c:pt idx="121">
                  <c:v>12.2</c:v>
                </c:pt>
                <c:pt idx="122">
                  <c:v>12.3</c:v>
                </c:pt>
                <c:pt idx="123">
                  <c:v>12.4</c:v>
                </c:pt>
                <c:pt idx="124">
                  <c:v>12.5</c:v>
                </c:pt>
                <c:pt idx="125">
                  <c:v>12.6</c:v>
                </c:pt>
                <c:pt idx="126">
                  <c:v>12.7</c:v>
                </c:pt>
                <c:pt idx="127">
                  <c:v>12.8</c:v>
                </c:pt>
                <c:pt idx="128">
                  <c:v>12.9</c:v>
                </c:pt>
                <c:pt idx="129">
                  <c:v>13</c:v>
                </c:pt>
                <c:pt idx="130">
                  <c:v>13.1</c:v>
                </c:pt>
                <c:pt idx="131">
                  <c:v>13.2</c:v>
                </c:pt>
                <c:pt idx="132">
                  <c:v>13.3</c:v>
                </c:pt>
                <c:pt idx="133">
                  <c:v>13.4</c:v>
                </c:pt>
                <c:pt idx="134">
                  <c:v>13.5</c:v>
                </c:pt>
                <c:pt idx="135">
                  <c:v>13.6</c:v>
                </c:pt>
                <c:pt idx="136">
                  <c:v>13.7</c:v>
                </c:pt>
                <c:pt idx="137">
                  <c:v>13.8</c:v>
                </c:pt>
                <c:pt idx="138">
                  <c:v>13.9</c:v>
                </c:pt>
                <c:pt idx="139">
                  <c:v>14</c:v>
                </c:pt>
                <c:pt idx="140">
                  <c:v>14.1</c:v>
                </c:pt>
                <c:pt idx="141">
                  <c:v>14.2</c:v>
                </c:pt>
                <c:pt idx="142">
                  <c:v>14.3</c:v>
                </c:pt>
                <c:pt idx="143">
                  <c:v>14.4</c:v>
                </c:pt>
                <c:pt idx="144">
                  <c:v>14.5</c:v>
                </c:pt>
                <c:pt idx="145">
                  <c:v>14.6</c:v>
                </c:pt>
                <c:pt idx="146">
                  <c:v>14.7</c:v>
                </c:pt>
                <c:pt idx="147">
                  <c:v>14.8</c:v>
                </c:pt>
                <c:pt idx="148">
                  <c:v>14.9</c:v>
                </c:pt>
                <c:pt idx="149">
                  <c:v>15</c:v>
                </c:pt>
                <c:pt idx="150">
                  <c:v>15.1</c:v>
                </c:pt>
                <c:pt idx="151">
                  <c:v>15.2</c:v>
                </c:pt>
                <c:pt idx="152">
                  <c:v>15.3</c:v>
                </c:pt>
                <c:pt idx="153">
                  <c:v>15.4</c:v>
                </c:pt>
                <c:pt idx="154">
                  <c:v>15.5</c:v>
                </c:pt>
                <c:pt idx="155">
                  <c:v>15.6</c:v>
                </c:pt>
                <c:pt idx="156">
                  <c:v>15.7</c:v>
                </c:pt>
                <c:pt idx="157">
                  <c:v>15.8</c:v>
                </c:pt>
                <c:pt idx="158">
                  <c:v>15.9</c:v>
                </c:pt>
                <c:pt idx="159">
                  <c:v>16</c:v>
                </c:pt>
                <c:pt idx="160">
                  <c:v>16.100000000000001</c:v>
                </c:pt>
                <c:pt idx="161">
                  <c:v>16.2</c:v>
                </c:pt>
                <c:pt idx="162">
                  <c:v>16.3</c:v>
                </c:pt>
                <c:pt idx="163">
                  <c:v>16.399999999999999</c:v>
                </c:pt>
                <c:pt idx="164">
                  <c:v>16.5</c:v>
                </c:pt>
                <c:pt idx="165">
                  <c:v>16.600000000000001</c:v>
                </c:pt>
                <c:pt idx="166">
                  <c:v>16.7</c:v>
                </c:pt>
                <c:pt idx="167">
                  <c:v>16.8</c:v>
                </c:pt>
                <c:pt idx="168">
                  <c:v>16.899999999999999</c:v>
                </c:pt>
                <c:pt idx="169">
                  <c:v>17</c:v>
                </c:pt>
                <c:pt idx="170">
                  <c:v>17.100000000000001</c:v>
                </c:pt>
                <c:pt idx="171">
                  <c:v>17.2</c:v>
                </c:pt>
                <c:pt idx="172">
                  <c:v>17.3</c:v>
                </c:pt>
                <c:pt idx="173">
                  <c:v>17.399999999999999</c:v>
                </c:pt>
                <c:pt idx="174">
                  <c:v>17.5</c:v>
                </c:pt>
                <c:pt idx="175">
                  <c:v>17.600000000000001</c:v>
                </c:pt>
                <c:pt idx="176">
                  <c:v>17.7</c:v>
                </c:pt>
                <c:pt idx="177">
                  <c:v>17.8</c:v>
                </c:pt>
                <c:pt idx="178">
                  <c:v>17.899999999999999</c:v>
                </c:pt>
                <c:pt idx="179">
                  <c:v>18</c:v>
                </c:pt>
                <c:pt idx="180">
                  <c:v>18.100000000000001</c:v>
                </c:pt>
                <c:pt idx="181">
                  <c:v>18.2</c:v>
                </c:pt>
                <c:pt idx="182">
                  <c:v>18.3</c:v>
                </c:pt>
                <c:pt idx="183">
                  <c:v>18.399999999999999</c:v>
                </c:pt>
                <c:pt idx="184">
                  <c:v>18.5</c:v>
                </c:pt>
                <c:pt idx="185">
                  <c:v>18.600000000000001</c:v>
                </c:pt>
                <c:pt idx="186">
                  <c:v>18.7</c:v>
                </c:pt>
                <c:pt idx="187">
                  <c:v>18.8</c:v>
                </c:pt>
                <c:pt idx="188">
                  <c:v>18.899999999999999</c:v>
                </c:pt>
                <c:pt idx="189">
                  <c:v>19</c:v>
                </c:pt>
                <c:pt idx="190">
                  <c:v>19.100000000000001</c:v>
                </c:pt>
                <c:pt idx="191">
                  <c:v>19.2</c:v>
                </c:pt>
                <c:pt idx="192">
                  <c:v>19.3</c:v>
                </c:pt>
                <c:pt idx="193">
                  <c:v>19.399999999999999</c:v>
                </c:pt>
                <c:pt idx="194">
                  <c:v>19.5</c:v>
                </c:pt>
                <c:pt idx="195">
                  <c:v>19.600000000000001</c:v>
                </c:pt>
                <c:pt idx="196">
                  <c:v>19.7</c:v>
                </c:pt>
                <c:pt idx="197">
                  <c:v>19.8</c:v>
                </c:pt>
                <c:pt idx="198">
                  <c:v>19.899999999999999</c:v>
                </c:pt>
                <c:pt idx="199">
                  <c:v>20</c:v>
                </c:pt>
              </c:numCache>
            </c:numRef>
          </c:xVal>
          <c:yVal>
            <c:numRef>
              <c:f>'Piston Velocity'!$H$21:$H$220</c:f>
              <c:numCache>
                <c:formatCode>General</c:formatCode>
                <c:ptCount val="200"/>
                <c:pt idx="0">
                  <c:v>3.1817371921838898E-5</c:v>
                </c:pt>
                <c:pt idx="1">
                  <c:v>1.2726948768735559E-4</c:v>
                </c:pt>
                <c:pt idx="2">
                  <c:v>2.8635634729655001E-4</c:v>
                </c:pt>
                <c:pt idx="3">
                  <c:v>5.0907795074942236E-4</c:v>
                </c:pt>
                <c:pt idx="4">
                  <c:v>7.9543429804597237E-4</c:v>
                </c:pt>
                <c:pt idx="5">
                  <c:v>1.1454253891862E-3</c:v>
                </c:pt>
                <c:pt idx="6">
                  <c:v>1.5590512241701058E-3</c:v>
                </c:pt>
                <c:pt idx="7">
                  <c:v>2.0363118029976895E-3</c:v>
                </c:pt>
                <c:pt idx="8">
                  <c:v>2.5772071256689507E-3</c:v>
                </c:pt>
                <c:pt idx="9">
                  <c:v>3.1817371921838895E-3</c:v>
                </c:pt>
                <c:pt idx="10">
                  <c:v>3.8499020025425067E-3</c:v>
                </c:pt>
                <c:pt idx="11">
                  <c:v>4.5817015567448001E-3</c:v>
                </c:pt>
                <c:pt idx="12">
                  <c:v>5.3771358547907745E-3</c:v>
                </c:pt>
                <c:pt idx="13">
                  <c:v>6.236204896680423E-3</c:v>
                </c:pt>
                <c:pt idx="14">
                  <c:v>7.1589086824137508E-3</c:v>
                </c:pt>
                <c:pt idx="15">
                  <c:v>8.1452472119907578E-3</c:v>
                </c:pt>
                <c:pt idx="16">
                  <c:v>9.195220485411439E-3</c:v>
                </c:pt>
                <c:pt idx="17">
                  <c:v>1.0308828502675803E-2</c:v>
                </c:pt>
                <c:pt idx="18">
                  <c:v>1.1486071263783841E-2</c:v>
                </c:pt>
                <c:pt idx="19">
                  <c:v>1.2726948768735558E-2</c:v>
                </c:pt>
                <c:pt idx="20">
                  <c:v>1.4031461017530953E-2</c:v>
                </c:pt>
                <c:pt idx="21">
                  <c:v>1.5399608010170027E-2</c:v>
                </c:pt>
                <c:pt idx="22">
                  <c:v>1.6831389746652773E-2</c:v>
                </c:pt>
                <c:pt idx="23">
                  <c:v>1.83268062269792E-2</c:v>
                </c:pt>
                <c:pt idx="24">
                  <c:v>1.9885857451149312E-2</c:v>
                </c:pt>
                <c:pt idx="25">
                  <c:v>2.1508543419163098E-2</c:v>
                </c:pt>
                <c:pt idx="26">
                  <c:v>2.3194864131020555E-2</c:v>
                </c:pt>
                <c:pt idx="27">
                  <c:v>2.4944819586721692E-2</c:v>
                </c:pt>
                <c:pt idx="28">
                  <c:v>2.6758409786266514E-2</c:v>
                </c:pt>
                <c:pt idx="29">
                  <c:v>2.8635634729655003E-2</c:v>
                </c:pt>
                <c:pt idx="30">
                  <c:v>3.057649441688718E-2</c:v>
                </c:pt>
                <c:pt idx="31">
                  <c:v>3.2580988847963031E-2</c:v>
                </c:pt>
                <c:pt idx="32">
                  <c:v>3.464911802288255E-2</c:v>
                </c:pt>
                <c:pt idx="33">
                  <c:v>3.6780881941645756E-2</c:v>
                </c:pt>
                <c:pt idx="34">
                  <c:v>3.8976280604252643E-2</c:v>
                </c:pt>
                <c:pt idx="35">
                  <c:v>4.1235314010703211E-2</c:v>
                </c:pt>
                <c:pt idx="36">
                  <c:v>4.3557982160997454E-2</c:v>
                </c:pt>
                <c:pt idx="37">
                  <c:v>4.5944285055135363E-2</c:v>
                </c:pt>
                <c:pt idx="38">
                  <c:v>4.8394222693116953E-2</c:v>
                </c:pt>
                <c:pt idx="39">
                  <c:v>5.0907795074942232E-2</c:v>
                </c:pt>
                <c:pt idx="40">
                  <c:v>5.3485002200611184E-2</c:v>
                </c:pt>
                <c:pt idx="41">
                  <c:v>5.6125844070123811E-2</c:v>
                </c:pt>
                <c:pt idx="42">
                  <c:v>5.8830320683480111E-2</c:v>
                </c:pt>
                <c:pt idx="43">
                  <c:v>6.1598432040680107E-2</c:v>
                </c:pt>
                <c:pt idx="44">
                  <c:v>6.4430178141723762E-2</c:v>
                </c:pt>
                <c:pt idx="45">
                  <c:v>6.7325558986611092E-2</c:v>
                </c:pt>
                <c:pt idx="46">
                  <c:v>7.0284574575342137E-2</c:v>
                </c:pt>
                <c:pt idx="47">
                  <c:v>7.3307224907916801E-2</c:v>
                </c:pt>
                <c:pt idx="48">
                  <c:v>7.6393509984335195E-2</c:v>
                </c:pt>
                <c:pt idx="49">
                  <c:v>7.9543429804597249E-2</c:v>
                </c:pt>
                <c:pt idx="50">
                  <c:v>8.2756984368702963E-2</c:v>
                </c:pt>
                <c:pt idx="51">
                  <c:v>8.6034173676652392E-2</c:v>
                </c:pt>
                <c:pt idx="52">
                  <c:v>8.9374997728445441E-2</c:v>
                </c:pt>
                <c:pt idx="53">
                  <c:v>9.2779456524082218E-2</c:v>
                </c:pt>
                <c:pt idx="54">
                  <c:v>9.6247550063562656E-2</c:v>
                </c:pt>
                <c:pt idx="55">
                  <c:v>9.9779278346886768E-2</c:v>
                </c:pt>
                <c:pt idx="56">
                  <c:v>0.10337464137405457</c:v>
                </c:pt>
                <c:pt idx="57">
                  <c:v>0.10703363914506606</c:v>
                </c:pt>
                <c:pt idx="58">
                  <c:v>0.1107562716599212</c:v>
                </c:pt>
                <c:pt idx="59">
                  <c:v>0.11454253891862001</c:v>
                </c:pt>
                <c:pt idx="60">
                  <c:v>0.11839244092116251</c:v>
                </c:pt>
                <c:pt idx="61">
                  <c:v>0.12230597766754872</c:v>
                </c:pt>
                <c:pt idx="62">
                  <c:v>0.12628314915777858</c:v>
                </c:pt>
                <c:pt idx="63">
                  <c:v>0.13032395539185213</c:v>
                </c:pt>
                <c:pt idx="64">
                  <c:v>0.13442839636976933</c:v>
                </c:pt>
                <c:pt idx="65">
                  <c:v>0.1385964720915302</c:v>
                </c:pt>
                <c:pt idx="66">
                  <c:v>0.14282818255713481</c:v>
                </c:pt>
                <c:pt idx="67">
                  <c:v>0.14712352776658302</c:v>
                </c:pt>
                <c:pt idx="68">
                  <c:v>0.15148250771987501</c:v>
                </c:pt>
                <c:pt idx="69">
                  <c:v>0.15590512241701057</c:v>
                </c:pt>
                <c:pt idx="70">
                  <c:v>0.16039137185798985</c:v>
                </c:pt>
                <c:pt idx="71">
                  <c:v>0.16494125604281284</c:v>
                </c:pt>
                <c:pt idx="72">
                  <c:v>0.16955477497147947</c:v>
                </c:pt>
                <c:pt idx="73">
                  <c:v>0.17423192864398981</c:v>
                </c:pt>
                <c:pt idx="74">
                  <c:v>0.17897271706034379</c:v>
                </c:pt>
                <c:pt idx="75">
                  <c:v>0.18377714022054145</c:v>
                </c:pt>
                <c:pt idx="76">
                  <c:v>0.18864519812458283</c:v>
                </c:pt>
                <c:pt idx="77">
                  <c:v>0.19357689077246781</c:v>
                </c:pt>
                <c:pt idx="78">
                  <c:v>0.19857221816419657</c:v>
                </c:pt>
                <c:pt idx="79">
                  <c:v>0.20363118029976893</c:v>
                </c:pt>
                <c:pt idx="80">
                  <c:v>0.20875377717918497</c:v>
                </c:pt>
                <c:pt idx="81">
                  <c:v>0.21394000880244474</c:v>
                </c:pt>
                <c:pt idx="82">
                  <c:v>0.21918987516954819</c:v>
                </c:pt>
                <c:pt idx="83">
                  <c:v>0.22450337628049524</c:v>
                </c:pt>
                <c:pt idx="84">
                  <c:v>0.22988051213528604</c:v>
                </c:pt>
                <c:pt idx="85">
                  <c:v>0.23532128273392044</c:v>
                </c:pt>
                <c:pt idx="86">
                  <c:v>0.24082568807639856</c:v>
                </c:pt>
                <c:pt idx="87">
                  <c:v>0.24639372816272043</c:v>
                </c:pt>
                <c:pt idx="88">
                  <c:v>0.25202540299288589</c:v>
                </c:pt>
                <c:pt idx="89">
                  <c:v>0.25772071256689505</c:v>
                </c:pt>
                <c:pt idx="90">
                  <c:v>0.26347965688474784</c:v>
                </c:pt>
                <c:pt idx="91">
                  <c:v>0.26930223594644437</c:v>
                </c:pt>
                <c:pt idx="92">
                  <c:v>0.27518844975198464</c:v>
                </c:pt>
                <c:pt idx="93">
                  <c:v>0.28113829830136855</c:v>
                </c:pt>
                <c:pt idx="94">
                  <c:v>0.28715178159459603</c:v>
                </c:pt>
                <c:pt idx="95">
                  <c:v>0.29322889963166721</c:v>
                </c:pt>
                <c:pt idx="96">
                  <c:v>0.29936965241258212</c:v>
                </c:pt>
                <c:pt idx="97">
                  <c:v>0.30557403993734078</c:v>
                </c:pt>
                <c:pt idx="98">
                  <c:v>0.31184206220594302</c:v>
                </c:pt>
                <c:pt idx="99">
                  <c:v>0.318173719218389</c:v>
                </c:pt>
                <c:pt idx="100">
                  <c:v>0.32456901097467855</c:v>
                </c:pt>
                <c:pt idx="101">
                  <c:v>0.33102793747481185</c:v>
                </c:pt>
                <c:pt idx="102">
                  <c:v>0.33755049871878889</c:v>
                </c:pt>
                <c:pt idx="103">
                  <c:v>0.34413669470660957</c:v>
                </c:pt>
                <c:pt idx="104">
                  <c:v>0.35078652543827382</c:v>
                </c:pt>
                <c:pt idx="105">
                  <c:v>0.35749999091378176</c:v>
                </c:pt>
                <c:pt idx="106">
                  <c:v>0.36427709113313339</c:v>
                </c:pt>
                <c:pt idx="107">
                  <c:v>0.37111782609632887</c:v>
                </c:pt>
                <c:pt idx="108">
                  <c:v>0.37802219580336788</c:v>
                </c:pt>
                <c:pt idx="109">
                  <c:v>0.38499020025425063</c:v>
                </c:pt>
                <c:pt idx="110">
                  <c:v>0.39202183944897695</c:v>
                </c:pt>
                <c:pt idx="111">
                  <c:v>0.39911711338754707</c:v>
                </c:pt>
                <c:pt idx="112">
                  <c:v>0.40627602206996088</c:v>
                </c:pt>
                <c:pt idx="113">
                  <c:v>0.41349856549621827</c:v>
                </c:pt>
                <c:pt idx="114">
                  <c:v>0.42078474366631935</c:v>
                </c:pt>
                <c:pt idx="115">
                  <c:v>0.42813455658026423</c:v>
                </c:pt>
                <c:pt idx="116">
                  <c:v>0.43554800423805262</c:v>
                </c:pt>
                <c:pt idx="117">
                  <c:v>0.44302508663968482</c:v>
                </c:pt>
                <c:pt idx="118">
                  <c:v>0.45056580378516059</c:v>
                </c:pt>
                <c:pt idx="119">
                  <c:v>0.45817015567448005</c:v>
                </c:pt>
                <c:pt idx="120">
                  <c:v>0.46583814230764325</c:v>
                </c:pt>
                <c:pt idx="121">
                  <c:v>0.47356976368465004</c:v>
                </c:pt>
                <c:pt idx="122">
                  <c:v>0.48136501980550073</c:v>
                </c:pt>
                <c:pt idx="123">
                  <c:v>0.48922391067019488</c:v>
                </c:pt>
                <c:pt idx="124">
                  <c:v>0.49714643627873273</c:v>
                </c:pt>
                <c:pt idx="125">
                  <c:v>0.50513259663111432</c:v>
                </c:pt>
                <c:pt idx="126">
                  <c:v>0.51318239172733948</c:v>
                </c:pt>
                <c:pt idx="127">
                  <c:v>0.5212958215674085</c:v>
                </c:pt>
                <c:pt idx="128">
                  <c:v>0.52947288615132104</c:v>
                </c:pt>
                <c:pt idx="129">
                  <c:v>0.53771358547907733</c:v>
                </c:pt>
                <c:pt idx="130">
                  <c:v>0.54601791955067724</c:v>
                </c:pt>
                <c:pt idx="131">
                  <c:v>0.55438588836612079</c:v>
                </c:pt>
                <c:pt idx="132">
                  <c:v>0.56281749192540831</c:v>
                </c:pt>
                <c:pt idx="133">
                  <c:v>0.57131273022853923</c:v>
                </c:pt>
                <c:pt idx="134">
                  <c:v>0.5798716032755139</c:v>
                </c:pt>
                <c:pt idx="135">
                  <c:v>0.58849411106633209</c:v>
                </c:pt>
                <c:pt idx="136">
                  <c:v>0.59718025360099414</c:v>
                </c:pt>
                <c:pt idx="137">
                  <c:v>0.60593003087950004</c:v>
                </c:pt>
                <c:pt idx="138">
                  <c:v>0.61474344290184935</c:v>
                </c:pt>
                <c:pt idx="139">
                  <c:v>0.62362048966804229</c:v>
                </c:pt>
                <c:pt idx="140">
                  <c:v>0.63256117117807908</c:v>
                </c:pt>
                <c:pt idx="141">
                  <c:v>0.6415654874319594</c:v>
                </c:pt>
                <c:pt idx="142">
                  <c:v>0.65063343842968369</c:v>
                </c:pt>
                <c:pt idx="143">
                  <c:v>0.65976502417125138</c:v>
                </c:pt>
                <c:pt idx="144">
                  <c:v>0.66896024465666271</c:v>
                </c:pt>
                <c:pt idx="145">
                  <c:v>0.67821909988591789</c:v>
                </c:pt>
                <c:pt idx="146">
                  <c:v>0.68754158985901659</c:v>
                </c:pt>
                <c:pt idx="147">
                  <c:v>0.69692771457595926</c:v>
                </c:pt>
                <c:pt idx="148">
                  <c:v>0.70637747403674533</c:v>
                </c:pt>
                <c:pt idx="149">
                  <c:v>0.71589086824137516</c:v>
                </c:pt>
                <c:pt idx="150">
                  <c:v>0.7254678971898485</c:v>
                </c:pt>
                <c:pt idx="151">
                  <c:v>0.73510856088216581</c:v>
                </c:pt>
                <c:pt idx="152">
                  <c:v>0.74481285931832686</c:v>
                </c:pt>
                <c:pt idx="153">
                  <c:v>0.75458079249833132</c:v>
                </c:pt>
                <c:pt idx="154">
                  <c:v>0.76441236042217953</c:v>
                </c:pt>
                <c:pt idx="155">
                  <c:v>0.77430756308987125</c:v>
                </c:pt>
                <c:pt idx="156">
                  <c:v>0.78426640050140695</c:v>
                </c:pt>
                <c:pt idx="157">
                  <c:v>0.79428887265678627</c:v>
                </c:pt>
                <c:pt idx="158">
                  <c:v>0.80437497955600923</c:v>
                </c:pt>
                <c:pt idx="159">
                  <c:v>0.81452472119907571</c:v>
                </c:pt>
                <c:pt idx="160">
                  <c:v>0.82473809758598604</c:v>
                </c:pt>
                <c:pt idx="161">
                  <c:v>0.8350151087167399</c:v>
                </c:pt>
                <c:pt idx="162">
                  <c:v>0.84535575459133772</c:v>
                </c:pt>
                <c:pt idx="163">
                  <c:v>0.85576003520977895</c:v>
                </c:pt>
                <c:pt idx="164">
                  <c:v>0.86622795057206392</c:v>
                </c:pt>
                <c:pt idx="165">
                  <c:v>0.87675950067819275</c:v>
                </c:pt>
                <c:pt idx="166">
                  <c:v>0.88735468552816499</c:v>
                </c:pt>
                <c:pt idx="167">
                  <c:v>0.89801350512198097</c:v>
                </c:pt>
                <c:pt idx="168">
                  <c:v>0.90873595945964059</c:v>
                </c:pt>
                <c:pt idx="169">
                  <c:v>0.91952204854114417</c:v>
                </c:pt>
                <c:pt idx="170">
                  <c:v>0.93037177236649127</c:v>
                </c:pt>
                <c:pt idx="171">
                  <c:v>0.94128513093568178</c:v>
                </c:pt>
                <c:pt idx="172">
                  <c:v>0.95226212424871637</c:v>
                </c:pt>
                <c:pt idx="173">
                  <c:v>0.96330275230559426</c:v>
                </c:pt>
                <c:pt idx="174">
                  <c:v>0.97440701510631622</c:v>
                </c:pt>
                <c:pt idx="175">
                  <c:v>0.98557491265088171</c:v>
                </c:pt>
                <c:pt idx="176">
                  <c:v>0.99680644493929049</c:v>
                </c:pt>
                <c:pt idx="177">
                  <c:v>1.0081016119715436</c:v>
                </c:pt>
                <c:pt idx="178">
                  <c:v>1.01946041374764</c:v>
                </c:pt>
                <c:pt idx="179">
                  <c:v>1.0308828502675802</c:v>
                </c:pt>
                <c:pt idx="180">
                  <c:v>1.0423689215313643</c:v>
                </c:pt>
                <c:pt idx="181">
                  <c:v>1.0539186275389913</c:v>
                </c:pt>
                <c:pt idx="182">
                  <c:v>1.0655319682904629</c:v>
                </c:pt>
                <c:pt idx="183">
                  <c:v>1.0772089437857775</c:v>
                </c:pt>
                <c:pt idx="184">
                  <c:v>1.0889495540249363</c:v>
                </c:pt>
                <c:pt idx="185">
                  <c:v>1.1007537990079386</c:v>
                </c:pt>
                <c:pt idx="186">
                  <c:v>1.1126216787347842</c:v>
                </c:pt>
                <c:pt idx="187">
                  <c:v>1.1245531932054742</c:v>
                </c:pt>
                <c:pt idx="188">
                  <c:v>1.1365483424200069</c:v>
                </c:pt>
                <c:pt idx="189">
                  <c:v>1.1486071263783841</c:v>
                </c:pt>
                <c:pt idx="190">
                  <c:v>1.160729545080605</c:v>
                </c:pt>
                <c:pt idx="191">
                  <c:v>1.1729155985266688</c:v>
                </c:pt>
                <c:pt idx="192">
                  <c:v>1.1851652867165769</c:v>
                </c:pt>
                <c:pt idx="193">
                  <c:v>1.1974786096503285</c:v>
                </c:pt>
                <c:pt idx="194">
                  <c:v>1.2098555673279241</c:v>
                </c:pt>
                <c:pt idx="195">
                  <c:v>1.2222961597493631</c:v>
                </c:pt>
                <c:pt idx="196">
                  <c:v>1.2348003869146458</c:v>
                </c:pt>
                <c:pt idx="197">
                  <c:v>1.2473682488237721</c:v>
                </c:pt>
                <c:pt idx="198">
                  <c:v>1.2599997454767418</c:v>
                </c:pt>
                <c:pt idx="199">
                  <c:v>1.272694876873556</c:v>
                </c:pt>
              </c:numCache>
            </c:numRef>
          </c:yVal>
          <c:smooth val="0"/>
          <c:extLst>
            <c:ext xmlns:c16="http://schemas.microsoft.com/office/drawing/2014/chart" uri="{C3380CC4-5D6E-409C-BE32-E72D297353CC}">
              <c16:uniqueId val="{00000003-CED8-8548-8BDB-E89EDCAA6827}"/>
            </c:ext>
          </c:extLst>
        </c:ser>
        <c:ser>
          <c:idx val="4"/>
          <c:order val="4"/>
          <c:tx>
            <c:v>Ho et al., 2006</c:v>
          </c:tx>
          <c:spPr>
            <a:ln w="25400" cap="rnd">
              <a:noFill/>
              <a:round/>
            </a:ln>
            <a:effectLst/>
          </c:spPr>
          <c:marker>
            <c:symbol val="circle"/>
            <c:size val="5"/>
            <c:spPr>
              <a:solidFill>
                <a:schemeClr val="accent5"/>
              </a:solidFill>
              <a:ln w="9525">
                <a:solidFill>
                  <a:schemeClr val="accent5"/>
                </a:solidFill>
              </a:ln>
              <a:effectLst/>
            </c:spPr>
          </c:marker>
          <c:xVal>
            <c:numRef>
              <c:f>'Piston Velocity'!$A$21:$A$220</c:f>
              <c:numCache>
                <c:formatCode>General</c:formatCode>
                <c:ptCount val="200"/>
                <c:pt idx="0">
                  <c:v>0.1</c:v>
                </c:pt>
                <c:pt idx="1">
                  <c:v>0.2</c:v>
                </c:pt>
                <c:pt idx="2">
                  <c:v>0.3</c:v>
                </c:pt>
                <c:pt idx="3">
                  <c:v>0.4</c:v>
                </c:pt>
                <c:pt idx="4">
                  <c:v>0.5</c:v>
                </c:pt>
                <c:pt idx="5">
                  <c:v>0.6</c:v>
                </c:pt>
                <c:pt idx="6">
                  <c:v>0.7</c:v>
                </c:pt>
                <c:pt idx="7">
                  <c:v>0.8</c:v>
                </c:pt>
                <c:pt idx="8">
                  <c:v>0.9</c:v>
                </c:pt>
                <c:pt idx="9">
                  <c:v>1</c:v>
                </c:pt>
                <c:pt idx="10">
                  <c:v>1.1000000000000001</c:v>
                </c:pt>
                <c:pt idx="11">
                  <c:v>1.2</c:v>
                </c:pt>
                <c:pt idx="12">
                  <c:v>1.3</c:v>
                </c:pt>
                <c:pt idx="13">
                  <c:v>1.4</c:v>
                </c:pt>
                <c:pt idx="14">
                  <c:v>1.5</c:v>
                </c:pt>
                <c:pt idx="15">
                  <c:v>1.6</c:v>
                </c:pt>
                <c:pt idx="16">
                  <c:v>1.7</c:v>
                </c:pt>
                <c:pt idx="17">
                  <c:v>1.8</c:v>
                </c:pt>
                <c:pt idx="18">
                  <c:v>1.9</c:v>
                </c:pt>
                <c:pt idx="19">
                  <c:v>2</c:v>
                </c:pt>
                <c:pt idx="20">
                  <c:v>2.1</c:v>
                </c:pt>
                <c:pt idx="21">
                  <c:v>2.2000000000000002</c:v>
                </c:pt>
                <c:pt idx="22">
                  <c:v>2.2999999999999998</c:v>
                </c:pt>
                <c:pt idx="23">
                  <c:v>2.4</c:v>
                </c:pt>
                <c:pt idx="24">
                  <c:v>2.5</c:v>
                </c:pt>
                <c:pt idx="25">
                  <c:v>2.6</c:v>
                </c:pt>
                <c:pt idx="26">
                  <c:v>2.7</c:v>
                </c:pt>
                <c:pt idx="27">
                  <c:v>2.8</c:v>
                </c:pt>
                <c:pt idx="28">
                  <c:v>2.9</c:v>
                </c:pt>
                <c:pt idx="29">
                  <c:v>3</c:v>
                </c:pt>
                <c:pt idx="30">
                  <c:v>3.1</c:v>
                </c:pt>
                <c:pt idx="31">
                  <c:v>3.2</c:v>
                </c:pt>
                <c:pt idx="32">
                  <c:v>3.3</c:v>
                </c:pt>
                <c:pt idx="33">
                  <c:v>3.4</c:v>
                </c:pt>
                <c:pt idx="34">
                  <c:v>3.5</c:v>
                </c:pt>
                <c:pt idx="35">
                  <c:v>3.6</c:v>
                </c:pt>
                <c:pt idx="36">
                  <c:v>3.7</c:v>
                </c:pt>
                <c:pt idx="37">
                  <c:v>3.8</c:v>
                </c:pt>
                <c:pt idx="38">
                  <c:v>3.9</c:v>
                </c:pt>
                <c:pt idx="39">
                  <c:v>4</c:v>
                </c:pt>
                <c:pt idx="40">
                  <c:v>4.0999999999999996</c:v>
                </c:pt>
                <c:pt idx="41">
                  <c:v>4.2</c:v>
                </c:pt>
                <c:pt idx="42">
                  <c:v>4.3</c:v>
                </c:pt>
                <c:pt idx="43">
                  <c:v>4.4000000000000004</c:v>
                </c:pt>
                <c:pt idx="44">
                  <c:v>4.5</c:v>
                </c:pt>
                <c:pt idx="45">
                  <c:v>4.5999999999999996</c:v>
                </c:pt>
                <c:pt idx="46">
                  <c:v>4.7</c:v>
                </c:pt>
                <c:pt idx="47">
                  <c:v>4.8</c:v>
                </c:pt>
                <c:pt idx="48">
                  <c:v>4.9000000000000004</c:v>
                </c:pt>
                <c:pt idx="49">
                  <c:v>5</c:v>
                </c:pt>
                <c:pt idx="50">
                  <c:v>5.0999999999999996</c:v>
                </c:pt>
                <c:pt idx="51">
                  <c:v>5.2</c:v>
                </c:pt>
                <c:pt idx="52">
                  <c:v>5.3</c:v>
                </c:pt>
                <c:pt idx="53">
                  <c:v>5.4</c:v>
                </c:pt>
                <c:pt idx="54">
                  <c:v>5.5</c:v>
                </c:pt>
                <c:pt idx="55">
                  <c:v>5.6</c:v>
                </c:pt>
                <c:pt idx="56">
                  <c:v>5.7</c:v>
                </c:pt>
                <c:pt idx="57">
                  <c:v>5.8</c:v>
                </c:pt>
                <c:pt idx="58">
                  <c:v>5.9</c:v>
                </c:pt>
                <c:pt idx="59">
                  <c:v>6</c:v>
                </c:pt>
                <c:pt idx="60">
                  <c:v>6.1</c:v>
                </c:pt>
                <c:pt idx="61">
                  <c:v>6.2</c:v>
                </c:pt>
                <c:pt idx="62">
                  <c:v>6.3</c:v>
                </c:pt>
                <c:pt idx="63">
                  <c:v>6.4</c:v>
                </c:pt>
                <c:pt idx="64">
                  <c:v>6.5</c:v>
                </c:pt>
                <c:pt idx="65">
                  <c:v>6.6</c:v>
                </c:pt>
                <c:pt idx="66">
                  <c:v>6.7</c:v>
                </c:pt>
                <c:pt idx="67">
                  <c:v>6.8</c:v>
                </c:pt>
                <c:pt idx="68">
                  <c:v>6.9</c:v>
                </c:pt>
                <c:pt idx="69">
                  <c:v>7</c:v>
                </c:pt>
                <c:pt idx="70">
                  <c:v>7.1</c:v>
                </c:pt>
                <c:pt idx="71">
                  <c:v>7.2</c:v>
                </c:pt>
                <c:pt idx="72">
                  <c:v>7.3</c:v>
                </c:pt>
                <c:pt idx="73">
                  <c:v>7.4</c:v>
                </c:pt>
                <c:pt idx="74">
                  <c:v>7.5</c:v>
                </c:pt>
                <c:pt idx="75">
                  <c:v>7.6</c:v>
                </c:pt>
                <c:pt idx="76">
                  <c:v>7.7</c:v>
                </c:pt>
                <c:pt idx="77">
                  <c:v>7.8</c:v>
                </c:pt>
                <c:pt idx="78">
                  <c:v>7.9</c:v>
                </c:pt>
                <c:pt idx="79">
                  <c:v>8</c:v>
                </c:pt>
                <c:pt idx="80">
                  <c:v>8.1</c:v>
                </c:pt>
                <c:pt idx="81">
                  <c:v>8.1999999999999993</c:v>
                </c:pt>
                <c:pt idx="82">
                  <c:v>8.3000000000000007</c:v>
                </c:pt>
                <c:pt idx="83">
                  <c:v>8.4</c:v>
                </c:pt>
                <c:pt idx="84">
                  <c:v>8.5</c:v>
                </c:pt>
                <c:pt idx="85">
                  <c:v>8.6</c:v>
                </c:pt>
                <c:pt idx="86">
                  <c:v>8.6999999999999993</c:v>
                </c:pt>
                <c:pt idx="87">
                  <c:v>8.8000000000000007</c:v>
                </c:pt>
                <c:pt idx="88">
                  <c:v>8.9</c:v>
                </c:pt>
                <c:pt idx="89">
                  <c:v>9</c:v>
                </c:pt>
                <c:pt idx="90">
                  <c:v>9.1</c:v>
                </c:pt>
                <c:pt idx="91">
                  <c:v>9.1999999999999993</c:v>
                </c:pt>
                <c:pt idx="92">
                  <c:v>9.3000000000000007</c:v>
                </c:pt>
                <c:pt idx="93">
                  <c:v>9.4</c:v>
                </c:pt>
                <c:pt idx="94">
                  <c:v>9.5</c:v>
                </c:pt>
                <c:pt idx="95">
                  <c:v>9.6</c:v>
                </c:pt>
                <c:pt idx="96">
                  <c:v>9.6999999999999993</c:v>
                </c:pt>
                <c:pt idx="97">
                  <c:v>9.8000000000000007</c:v>
                </c:pt>
                <c:pt idx="98">
                  <c:v>9.9</c:v>
                </c:pt>
                <c:pt idx="99">
                  <c:v>10</c:v>
                </c:pt>
                <c:pt idx="100">
                  <c:v>10.1</c:v>
                </c:pt>
                <c:pt idx="101">
                  <c:v>10.199999999999999</c:v>
                </c:pt>
                <c:pt idx="102">
                  <c:v>10.3</c:v>
                </c:pt>
                <c:pt idx="103">
                  <c:v>10.4</c:v>
                </c:pt>
                <c:pt idx="104">
                  <c:v>10.5</c:v>
                </c:pt>
                <c:pt idx="105">
                  <c:v>10.6</c:v>
                </c:pt>
                <c:pt idx="106">
                  <c:v>10.7</c:v>
                </c:pt>
                <c:pt idx="107">
                  <c:v>10.8</c:v>
                </c:pt>
                <c:pt idx="108">
                  <c:v>10.9</c:v>
                </c:pt>
                <c:pt idx="109">
                  <c:v>11</c:v>
                </c:pt>
                <c:pt idx="110">
                  <c:v>11.1</c:v>
                </c:pt>
                <c:pt idx="111">
                  <c:v>11.2</c:v>
                </c:pt>
                <c:pt idx="112">
                  <c:v>11.3</c:v>
                </c:pt>
                <c:pt idx="113">
                  <c:v>11.4</c:v>
                </c:pt>
                <c:pt idx="114">
                  <c:v>11.5</c:v>
                </c:pt>
                <c:pt idx="115">
                  <c:v>11.6</c:v>
                </c:pt>
                <c:pt idx="116">
                  <c:v>11.7</c:v>
                </c:pt>
                <c:pt idx="117">
                  <c:v>11.8</c:v>
                </c:pt>
                <c:pt idx="118">
                  <c:v>11.9</c:v>
                </c:pt>
                <c:pt idx="119">
                  <c:v>12</c:v>
                </c:pt>
                <c:pt idx="120">
                  <c:v>12.1</c:v>
                </c:pt>
                <c:pt idx="121">
                  <c:v>12.2</c:v>
                </c:pt>
                <c:pt idx="122">
                  <c:v>12.3</c:v>
                </c:pt>
                <c:pt idx="123">
                  <c:v>12.4</c:v>
                </c:pt>
                <c:pt idx="124">
                  <c:v>12.5</c:v>
                </c:pt>
                <c:pt idx="125">
                  <c:v>12.6</c:v>
                </c:pt>
                <c:pt idx="126">
                  <c:v>12.7</c:v>
                </c:pt>
                <c:pt idx="127">
                  <c:v>12.8</c:v>
                </c:pt>
                <c:pt idx="128">
                  <c:v>12.9</c:v>
                </c:pt>
                <c:pt idx="129">
                  <c:v>13</c:v>
                </c:pt>
                <c:pt idx="130">
                  <c:v>13.1</c:v>
                </c:pt>
                <c:pt idx="131">
                  <c:v>13.2</c:v>
                </c:pt>
                <c:pt idx="132">
                  <c:v>13.3</c:v>
                </c:pt>
                <c:pt idx="133">
                  <c:v>13.4</c:v>
                </c:pt>
                <c:pt idx="134">
                  <c:v>13.5</c:v>
                </c:pt>
                <c:pt idx="135">
                  <c:v>13.6</c:v>
                </c:pt>
                <c:pt idx="136">
                  <c:v>13.7</c:v>
                </c:pt>
                <c:pt idx="137">
                  <c:v>13.8</c:v>
                </c:pt>
                <c:pt idx="138">
                  <c:v>13.9</c:v>
                </c:pt>
                <c:pt idx="139">
                  <c:v>14</c:v>
                </c:pt>
                <c:pt idx="140">
                  <c:v>14.1</c:v>
                </c:pt>
                <c:pt idx="141">
                  <c:v>14.2</c:v>
                </c:pt>
                <c:pt idx="142">
                  <c:v>14.3</c:v>
                </c:pt>
                <c:pt idx="143">
                  <c:v>14.4</c:v>
                </c:pt>
                <c:pt idx="144">
                  <c:v>14.5</c:v>
                </c:pt>
                <c:pt idx="145">
                  <c:v>14.6</c:v>
                </c:pt>
                <c:pt idx="146">
                  <c:v>14.7</c:v>
                </c:pt>
                <c:pt idx="147">
                  <c:v>14.8</c:v>
                </c:pt>
                <c:pt idx="148">
                  <c:v>14.9</c:v>
                </c:pt>
                <c:pt idx="149">
                  <c:v>15</c:v>
                </c:pt>
                <c:pt idx="150">
                  <c:v>15.1</c:v>
                </c:pt>
                <c:pt idx="151">
                  <c:v>15.2</c:v>
                </c:pt>
                <c:pt idx="152">
                  <c:v>15.3</c:v>
                </c:pt>
                <c:pt idx="153">
                  <c:v>15.4</c:v>
                </c:pt>
                <c:pt idx="154">
                  <c:v>15.5</c:v>
                </c:pt>
                <c:pt idx="155">
                  <c:v>15.6</c:v>
                </c:pt>
                <c:pt idx="156">
                  <c:v>15.7</c:v>
                </c:pt>
                <c:pt idx="157">
                  <c:v>15.8</c:v>
                </c:pt>
                <c:pt idx="158">
                  <c:v>15.9</c:v>
                </c:pt>
                <c:pt idx="159">
                  <c:v>16</c:v>
                </c:pt>
                <c:pt idx="160">
                  <c:v>16.100000000000001</c:v>
                </c:pt>
                <c:pt idx="161">
                  <c:v>16.2</c:v>
                </c:pt>
                <c:pt idx="162">
                  <c:v>16.3</c:v>
                </c:pt>
                <c:pt idx="163">
                  <c:v>16.399999999999999</c:v>
                </c:pt>
                <c:pt idx="164">
                  <c:v>16.5</c:v>
                </c:pt>
                <c:pt idx="165">
                  <c:v>16.600000000000001</c:v>
                </c:pt>
                <c:pt idx="166">
                  <c:v>16.7</c:v>
                </c:pt>
                <c:pt idx="167">
                  <c:v>16.8</c:v>
                </c:pt>
                <c:pt idx="168">
                  <c:v>16.899999999999999</c:v>
                </c:pt>
                <c:pt idx="169">
                  <c:v>17</c:v>
                </c:pt>
                <c:pt idx="170">
                  <c:v>17.100000000000001</c:v>
                </c:pt>
                <c:pt idx="171">
                  <c:v>17.2</c:v>
                </c:pt>
                <c:pt idx="172">
                  <c:v>17.3</c:v>
                </c:pt>
                <c:pt idx="173">
                  <c:v>17.399999999999999</c:v>
                </c:pt>
                <c:pt idx="174">
                  <c:v>17.5</c:v>
                </c:pt>
                <c:pt idx="175">
                  <c:v>17.600000000000001</c:v>
                </c:pt>
                <c:pt idx="176">
                  <c:v>17.7</c:v>
                </c:pt>
                <c:pt idx="177">
                  <c:v>17.8</c:v>
                </c:pt>
                <c:pt idx="178">
                  <c:v>17.899999999999999</c:v>
                </c:pt>
                <c:pt idx="179">
                  <c:v>18</c:v>
                </c:pt>
                <c:pt idx="180">
                  <c:v>18.100000000000001</c:v>
                </c:pt>
                <c:pt idx="181">
                  <c:v>18.2</c:v>
                </c:pt>
                <c:pt idx="182">
                  <c:v>18.3</c:v>
                </c:pt>
                <c:pt idx="183">
                  <c:v>18.399999999999999</c:v>
                </c:pt>
                <c:pt idx="184">
                  <c:v>18.5</c:v>
                </c:pt>
                <c:pt idx="185">
                  <c:v>18.600000000000001</c:v>
                </c:pt>
                <c:pt idx="186">
                  <c:v>18.7</c:v>
                </c:pt>
                <c:pt idx="187">
                  <c:v>18.8</c:v>
                </c:pt>
                <c:pt idx="188">
                  <c:v>18.899999999999999</c:v>
                </c:pt>
                <c:pt idx="189">
                  <c:v>19</c:v>
                </c:pt>
                <c:pt idx="190">
                  <c:v>19.100000000000001</c:v>
                </c:pt>
                <c:pt idx="191">
                  <c:v>19.2</c:v>
                </c:pt>
                <c:pt idx="192">
                  <c:v>19.3</c:v>
                </c:pt>
                <c:pt idx="193">
                  <c:v>19.399999999999999</c:v>
                </c:pt>
                <c:pt idx="194">
                  <c:v>19.5</c:v>
                </c:pt>
                <c:pt idx="195">
                  <c:v>19.600000000000001</c:v>
                </c:pt>
                <c:pt idx="196">
                  <c:v>19.7</c:v>
                </c:pt>
                <c:pt idx="197">
                  <c:v>19.8</c:v>
                </c:pt>
                <c:pt idx="198">
                  <c:v>19.899999999999999</c:v>
                </c:pt>
                <c:pt idx="199">
                  <c:v>20</c:v>
                </c:pt>
              </c:numCache>
            </c:numRef>
          </c:xVal>
          <c:yVal>
            <c:numRef>
              <c:f>'Piston Velocity'!$F$21:$F$220</c:f>
              <c:numCache>
                <c:formatCode>General</c:formatCode>
                <c:ptCount val="200"/>
                <c:pt idx="0">
                  <c:v>2.6600000000000006E-5</c:v>
                </c:pt>
                <c:pt idx="1">
                  <c:v>1.0640000000000002E-4</c:v>
                </c:pt>
                <c:pt idx="2">
                  <c:v>2.3939999999999999E-4</c:v>
                </c:pt>
                <c:pt idx="3">
                  <c:v>4.256000000000001E-4</c:v>
                </c:pt>
                <c:pt idx="4">
                  <c:v>6.6500000000000001E-4</c:v>
                </c:pt>
                <c:pt idx="5">
                  <c:v>9.5759999999999997E-4</c:v>
                </c:pt>
                <c:pt idx="6">
                  <c:v>1.3033999999999999E-3</c:v>
                </c:pt>
                <c:pt idx="7">
                  <c:v>1.7024000000000004E-3</c:v>
                </c:pt>
                <c:pt idx="8">
                  <c:v>2.1546E-3</c:v>
                </c:pt>
                <c:pt idx="9">
                  <c:v>2.66E-3</c:v>
                </c:pt>
                <c:pt idx="10">
                  <c:v>3.2186000000000007E-3</c:v>
                </c:pt>
                <c:pt idx="11">
                  <c:v>3.8303999999999999E-3</c:v>
                </c:pt>
                <c:pt idx="12">
                  <c:v>4.4954000000000001E-3</c:v>
                </c:pt>
                <c:pt idx="13">
                  <c:v>5.2135999999999997E-3</c:v>
                </c:pt>
                <c:pt idx="14">
                  <c:v>5.9850000000000007E-3</c:v>
                </c:pt>
                <c:pt idx="15">
                  <c:v>6.8096000000000016E-3</c:v>
                </c:pt>
                <c:pt idx="16">
                  <c:v>7.6873999999999996E-3</c:v>
                </c:pt>
                <c:pt idx="17">
                  <c:v>8.6184E-3</c:v>
                </c:pt>
                <c:pt idx="18">
                  <c:v>9.6025999999999993E-3</c:v>
                </c:pt>
                <c:pt idx="19">
                  <c:v>1.064E-2</c:v>
                </c:pt>
                <c:pt idx="20">
                  <c:v>1.1730600000000001E-2</c:v>
                </c:pt>
                <c:pt idx="21">
                  <c:v>1.2874400000000003E-2</c:v>
                </c:pt>
                <c:pt idx="22">
                  <c:v>1.4071399999999998E-2</c:v>
                </c:pt>
                <c:pt idx="23">
                  <c:v>1.5321599999999999E-2</c:v>
                </c:pt>
                <c:pt idx="24">
                  <c:v>1.6625000000000001E-2</c:v>
                </c:pt>
                <c:pt idx="25">
                  <c:v>1.79816E-2</c:v>
                </c:pt>
                <c:pt idx="26">
                  <c:v>1.9391400000000003E-2</c:v>
                </c:pt>
                <c:pt idx="27">
                  <c:v>2.0854399999999999E-2</c:v>
                </c:pt>
                <c:pt idx="28">
                  <c:v>2.2370600000000001E-2</c:v>
                </c:pt>
                <c:pt idx="29">
                  <c:v>2.3940000000000003E-2</c:v>
                </c:pt>
                <c:pt idx="30">
                  <c:v>2.5562600000000005E-2</c:v>
                </c:pt>
                <c:pt idx="31">
                  <c:v>2.7238400000000006E-2</c:v>
                </c:pt>
                <c:pt idx="32">
                  <c:v>2.8967399999999997E-2</c:v>
                </c:pt>
                <c:pt idx="33">
                  <c:v>3.0749599999999998E-2</c:v>
                </c:pt>
                <c:pt idx="34">
                  <c:v>3.2585000000000003E-2</c:v>
                </c:pt>
                <c:pt idx="35">
                  <c:v>3.44736E-2</c:v>
                </c:pt>
                <c:pt idx="36">
                  <c:v>3.6415400000000007E-2</c:v>
                </c:pt>
                <c:pt idx="37">
                  <c:v>3.8410399999999997E-2</c:v>
                </c:pt>
                <c:pt idx="38">
                  <c:v>4.0458600000000004E-2</c:v>
                </c:pt>
                <c:pt idx="39">
                  <c:v>4.2560000000000001E-2</c:v>
                </c:pt>
                <c:pt idx="40">
                  <c:v>4.4714599999999993E-2</c:v>
                </c:pt>
                <c:pt idx="41">
                  <c:v>4.6922400000000003E-2</c:v>
                </c:pt>
                <c:pt idx="42">
                  <c:v>4.9183399999999995E-2</c:v>
                </c:pt>
                <c:pt idx="43">
                  <c:v>5.1497600000000011E-2</c:v>
                </c:pt>
                <c:pt idx="44">
                  <c:v>5.3864999999999996E-2</c:v>
                </c:pt>
                <c:pt idx="45">
                  <c:v>5.6285599999999991E-2</c:v>
                </c:pt>
                <c:pt idx="46">
                  <c:v>5.875940000000001E-2</c:v>
                </c:pt>
                <c:pt idx="47">
                  <c:v>6.1286399999999998E-2</c:v>
                </c:pt>
                <c:pt idx="48">
                  <c:v>6.3866600000000023E-2</c:v>
                </c:pt>
                <c:pt idx="49">
                  <c:v>6.6500000000000004E-2</c:v>
                </c:pt>
                <c:pt idx="50">
                  <c:v>6.9186600000000001E-2</c:v>
                </c:pt>
                <c:pt idx="51">
                  <c:v>7.1926400000000001E-2</c:v>
                </c:pt>
                <c:pt idx="52">
                  <c:v>7.4719400000000005E-2</c:v>
                </c:pt>
                <c:pt idx="53">
                  <c:v>7.7565600000000012E-2</c:v>
                </c:pt>
                <c:pt idx="54">
                  <c:v>8.0464999999999995E-2</c:v>
                </c:pt>
                <c:pt idx="55">
                  <c:v>8.3417599999999995E-2</c:v>
                </c:pt>
                <c:pt idx="56">
                  <c:v>8.6423400000000011E-2</c:v>
                </c:pt>
                <c:pt idx="57">
                  <c:v>8.9482400000000004E-2</c:v>
                </c:pt>
                <c:pt idx="58">
                  <c:v>9.2594600000000013E-2</c:v>
                </c:pt>
                <c:pt idx="59">
                  <c:v>9.5760000000000012E-2</c:v>
                </c:pt>
                <c:pt idx="60">
                  <c:v>9.89786E-2</c:v>
                </c:pt>
                <c:pt idx="61">
                  <c:v>0.10225040000000002</c:v>
                </c:pt>
                <c:pt idx="62">
                  <c:v>0.1055754</c:v>
                </c:pt>
                <c:pt idx="63">
                  <c:v>0.10895360000000003</c:v>
                </c:pt>
                <c:pt idx="64">
                  <c:v>0.112385</c:v>
                </c:pt>
                <c:pt idx="65">
                  <c:v>0.11586959999999999</c:v>
                </c:pt>
                <c:pt idx="66">
                  <c:v>0.1194074</c:v>
                </c:pt>
                <c:pt idx="67">
                  <c:v>0.12299839999999999</c:v>
                </c:pt>
                <c:pt idx="68">
                  <c:v>0.12664260000000002</c:v>
                </c:pt>
                <c:pt idx="69">
                  <c:v>0.13034000000000001</c:v>
                </c:pt>
                <c:pt idx="70">
                  <c:v>0.1340906</c:v>
                </c:pt>
                <c:pt idx="71">
                  <c:v>0.1378944</c:v>
                </c:pt>
                <c:pt idx="72">
                  <c:v>0.1417514</c:v>
                </c:pt>
                <c:pt idx="73">
                  <c:v>0.14566160000000003</c:v>
                </c:pt>
                <c:pt idx="74">
                  <c:v>0.14962500000000001</c:v>
                </c:pt>
                <c:pt idx="75">
                  <c:v>0.15364159999999999</c:v>
                </c:pt>
                <c:pt idx="76">
                  <c:v>0.15771140000000003</c:v>
                </c:pt>
                <c:pt idx="77">
                  <c:v>0.16183440000000002</c:v>
                </c:pt>
                <c:pt idx="78">
                  <c:v>0.16601060000000001</c:v>
                </c:pt>
                <c:pt idx="79">
                  <c:v>0.17024</c:v>
                </c:pt>
                <c:pt idx="80">
                  <c:v>0.17452260000000003</c:v>
                </c:pt>
                <c:pt idx="81">
                  <c:v>0.17885839999999997</c:v>
                </c:pt>
                <c:pt idx="82">
                  <c:v>0.18324740000000006</c:v>
                </c:pt>
                <c:pt idx="83">
                  <c:v>0.18768960000000001</c:v>
                </c:pt>
                <c:pt idx="84">
                  <c:v>0.19218500000000002</c:v>
                </c:pt>
                <c:pt idx="85">
                  <c:v>0.19673359999999998</c:v>
                </c:pt>
                <c:pt idx="86">
                  <c:v>0.20133539999999997</c:v>
                </c:pt>
                <c:pt idx="87">
                  <c:v>0.20599040000000005</c:v>
                </c:pt>
                <c:pt idx="88">
                  <c:v>0.21069860000000001</c:v>
                </c:pt>
                <c:pt idx="89">
                  <c:v>0.21545999999999998</c:v>
                </c:pt>
                <c:pt idx="90">
                  <c:v>0.22027459999999999</c:v>
                </c:pt>
                <c:pt idx="91">
                  <c:v>0.22514239999999996</c:v>
                </c:pt>
                <c:pt idx="92">
                  <c:v>0.23006340000000006</c:v>
                </c:pt>
                <c:pt idx="93">
                  <c:v>0.23503760000000004</c:v>
                </c:pt>
                <c:pt idx="94">
                  <c:v>0.24006500000000003</c:v>
                </c:pt>
                <c:pt idx="95">
                  <c:v>0.24514559999999999</c:v>
                </c:pt>
                <c:pt idx="96">
                  <c:v>0.25027939999999999</c:v>
                </c:pt>
                <c:pt idx="97">
                  <c:v>0.25546640000000009</c:v>
                </c:pt>
                <c:pt idx="98">
                  <c:v>0.26070660000000001</c:v>
                </c:pt>
                <c:pt idx="99">
                  <c:v>0.26600000000000001</c:v>
                </c:pt>
                <c:pt idx="100">
                  <c:v>0.27134659999999999</c:v>
                </c:pt>
                <c:pt idx="101">
                  <c:v>0.2767464</c:v>
                </c:pt>
                <c:pt idx="102">
                  <c:v>0.28219940000000004</c:v>
                </c:pt>
                <c:pt idx="103">
                  <c:v>0.28770560000000001</c:v>
                </c:pt>
                <c:pt idx="104">
                  <c:v>0.29326500000000005</c:v>
                </c:pt>
                <c:pt idx="105">
                  <c:v>0.29887760000000002</c:v>
                </c:pt>
                <c:pt idx="106">
                  <c:v>0.30454339999999996</c:v>
                </c:pt>
                <c:pt idx="107">
                  <c:v>0.31026240000000005</c:v>
                </c:pt>
                <c:pt idx="108">
                  <c:v>0.3160346</c:v>
                </c:pt>
                <c:pt idx="109">
                  <c:v>0.32185999999999998</c:v>
                </c:pt>
                <c:pt idx="110">
                  <c:v>0.32773859999999999</c:v>
                </c:pt>
                <c:pt idx="111">
                  <c:v>0.33367039999999998</c:v>
                </c:pt>
                <c:pt idx="112">
                  <c:v>0.33965540000000005</c:v>
                </c:pt>
                <c:pt idx="113">
                  <c:v>0.34569360000000005</c:v>
                </c:pt>
                <c:pt idx="114">
                  <c:v>0.35178500000000001</c:v>
                </c:pt>
                <c:pt idx="115">
                  <c:v>0.35792960000000001</c:v>
                </c:pt>
                <c:pt idx="116">
                  <c:v>0.36412739999999999</c:v>
                </c:pt>
                <c:pt idx="117">
                  <c:v>0.37037840000000005</c:v>
                </c:pt>
                <c:pt idx="118">
                  <c:v>0.37668260000000003</c:v>
                </c:pt>
                <c:pt idx="119">
                  <c:v>0.38304000000000005</c:v>
                </c:pt>
                <c:pt idx="120">
                  <c:v>0.38945059999999998</c:v>
                </c:pt>
                <c:pt idx="121">
                  <c:v>0.3959144</c:v>
                </c:pt>
                <c:pt idx="122">
                  <c:v>0.40243140000000011</c:v>
                </c:pt>
                <c:pt idx="123">
                  <c:v>0.40900160000000008</c:v>
                </c:pt>
                <c:pt idx="124">
                  <c:v>0.41562500000000002</c:v>
                </c:pt>
                <c:pt idx="125">
                  <c:v>0.4223016</c:v>
                </c:pt>
                <c:pt idx="126">
                  <c:v>0.42903140000000001</c:v>
                </c:pt>
                <c:pt idx="127">
                  <c:v>0.4358144000000001</c:v>
                </c:pt>
                <c:pt idx="128">
                  <c:v>0.44265060000000001</c:v>
                </c:pt>
                <c:pt idx="129">
                  <c:v>0.44954</c:v>
                </c:pt>
                <c:pt idx="130">
                  <c:v>0.45648260000000002</c:v>
                </c:pt>
                <c:pt idx="131">
                  <c:v>0.46347839999999996</c:v>
                </c:pt>
                <c:pt idx="132">
                  <c:v>0.4705274000000001</c:v>
                </c:pt>
                <c:pt idx="133">
                  <c:v>0.47762959999999999</c:v>
                </c:pt>
                <c:pt idx="134">
                  <c:v>0.48478500000000002</c:v>
                </c:pt>
                <c:pt idx="135">
                  <c:v>0.49199359999999998</c:v>
                </c:pt>
                <c:pt idx="136">
                  <c:v>0.49925539999999996</c:v>
                </c:pt>
                <c:pt idx="137">
                  <c:v>0.50657040000000009</c:v>
                </c:pt>
                <c:pt idx="138">
                  <c:v>0.51393860000000002</c:v>
                </c:pt>
                <c:pt idx="139">
                  <c:v>0.52136000000000005</c:v>
                </c:pt>
                <c:pt idx="140">
                  <c:v>0.52883460000000004</c:v>
                </c:pt>
                <c:pt idx="141">
                  <c:v>0.53636240000000002</c:v>
                </c:pt>
                <c:pt idx="142">
                  <c:v>0.54394340000000008</c:v>
                </c:pt>
                <c:pt idx="143">
                  <c:v>0.5515776</c:v>
                </c:pt>
                <c:pt idx="144">
                  <c:v>0.55926500000000001</c:v>
                </c:pt>
                <c:pt idx="145">
                  <c:v>0.5670056</c:v>
                </c:pt>
                <c:pt idx="146">
                  <c:v>0.57479939999999996</c:v>
                </c:pt>
                <c:pt idx="147">
                  <c:v>0.58264640000000012</c:v>
                </c:pt>
                <c:pt idx="148">
                  <c:v>0.59054660000000003</c:v>
                </c:pt>
                <c:pt idx="149">
                  <c:v>0.59850000000000003</c:v>
                </c:pt>
                <c:pt idx="150">
                  <c:v>0.60650660000000001</c:v>
                </c:pt>
                <c:pt idx="151">
                  <c:v>0.61456639999999996</c:v>
                </c:pt>
                <c:pt idx="152">
                  <c:v>0.62267940000000011</c:v>
                </c:pt>
                <c:pt idx="153">
                  <c:v>0.63084560000000012</c:v>
                </c:pt>
                <c:pt idx="154">
                  <c:v>0.63906499999999999</c:v>
                </c:pt>
                <c:pt idx="155">
                  <c:v>0.64733760000000007</c:v>
                </c:pt>
                <c:pt idx="156">
                  <c:v>0.65566340000000001</c:v>
                </c:pt>
                <c:pt idx="157">
                  <c:v>0.66404240000000003</c:v>
                </c:pt>
                <c:pt idx="158">
                  <c:v>0.67247460000000003</c:v>
                </c:pt>
                <c:pt idx="159">
                  <c:v>0.68096000000000001</c:v>
                </c:pt>
                <c:pt idx="160">
                  <c:v>0.68949860000000018</c:v>
                </c:pt>
                <c:pt idx="161">
                  <c:v>0.69809040000000011</c:v>
                </c:pt>
                <c:pt idx="162">
                  <c:v>0.70673540000000001</c:v>
                </c:pt>
                <c:pt idx="163">
                  <c:v>0.71543359999999989</c:v>
                </c:pt>
                <c:pt idx="164">
                  <c:v>0.72418500000000008</c:v>
                </c:pt>
                <c:pt idx="165">
                  <c:v>0.73298960000000024</c:v>
                </c:pt>
                <c:pt idx="166">
                  <c:v>0.74184740000000005</c:v>
                </c:pt>
                <c:pt idx="167">
                  <c:v>0.75075840000000005</c:v>
                </c:pt>
                <c:pt idx="168">
                  <c:v>0.75972259999999991</c:v>
                </c:pt>
                <c:pt idx="169">
                  <c:v>0.76874000000000009</c:v>
                </c:pt>
                <c:pt idx="170">
                  <c:v>0.77781060000000013</c:v>
                </c:pt>
                <c:pt idx="171">
                  <c:v>0.78693439999999992</c:v>
                </c:pt>
                <c:pt idx="172">
                  <c:v>0.79611140000000002</c:v>
                </c:pt>
                <c:pt idx="173">
                  <c:v>0.80534159999999988</c:v>
                </c:pt>
                <c:pt idx="174">
                  <c:v>0.81462500000000004</c:v>
                </c:pt>
                <c:pt idx="175">
                  <c:v>0.82396160000000018</c:v>
                </c:pt>
                <c:pt idx="176">
                  <c:v>0.83335139999999996</c:v>
                </c:pt>
                <c:pt idx="177">
                  <c:v>0.84279440000000005</c:v>
                </c:pt>
                <c:pt idx="178">
                  <c:v>0.8522905999999999</c:v>
                </c:pt>
                <c:pt idx="179">
                  <c:v>0.86183999999999994</c:v>
                </c:pt>
                <c:pt idx="180">
                  <c:v>0.87144260000000018</c:v>
                </c:pt>
                <c:pt idx="181">
                  <c:v>0.88109839999999995</c:v>
                </c:pt>
                <c:pt idx="182">
                  <c:v>0.89080740000000025</c:v>
                </c:pt>
                <c:pt idx="183">
                  <c:v>0.90056959999999986</c:v>
                </c:pt>
                <c:pt idx="184">
                  <c:v>0.910385</c:v>
                </c:pt>
                <c:pt idx="185">
                  <c:v>0.92025360000000023</c:v>
                </c:pt>
                <c:pt idx="186">
                  <c:v>0.9301754000000001</c:v>
                </c:pt>
                <c:pt idx="187">
                  <c:v>0.94015040000000016</c:v>
                </c:pt>
                <c:pt idx="188">
                  <c:v>0.95017859999999987</c:v>
                </c:pt>
                <c:pt idx="189">
                  <c:v>0.96026000000000011</c:v>
                </c:pt>
                <c:pt idx="190">
                  <c:v>0.97039460000000022</c:v>
                </c:pt>
                <c:pt idx="191">
                  <c:v>0.98058239999999997</c:v>
                </c:pt>
                <c:pt idx="192">
                  <c:v>0.99082340000000002</c:v>
                </c:pt>
                <c:pt idx="193">
                  <c:v>1.0011175999999999</c:v>
                </c:pt>
                <c:pt idx="194">
                  <c:v>1.0114650000000001</c:v>
                </c:pt>
                <c:pt idx="195">
                  <c:v>1.0218656000000004</c:v>
                </c:pt>
                <c:pt idx="196">
                  <c:v>1.0323194</c:v>
                </c:pt>
                <c:pt idx="197">
                  <c:v>1.0428264</c:v>
                </c:pt>
                <c:pt idx="198">
                  <c:v>1.0533865999999998</c:v>
                </c:pt>
                <c:pt idx="199">
                  <c:v>1.0640000000000001</c:v>
                </c:pt>
              </c:numCache>
            </c:numRef>
          </c:yVal>
          <c:smooth val="0"/>
          <c:extLst>
            <c:ext xmlns:c16="http://schemas.microsoft.com/office/drawing/2014/chart" uri="{C3380CC4-5D6E-409C-BE32-E72D297353CC}">
              <c16:uniqueId val="{00000005-CED8-8548-8BDB-E89EDCAA6827}"/>
            </c:ext>
          </c:extLst>
        </c:ser>
        <c:ser>
          <c:idx val="5"/>
          <c:order val="5"/>
          <c:tx>
            <c:v>Cole and Caraco 1998</c:v>
          </c:tx>
          <c:spPr>
            <a:ln w="25400" cap="rnd">
              <a:noFill/>
              <a:round/>
            </a:ln>
            <a:effectLst/>
          </c:spPr>
          <c:marker>
            <c:symbol val="circle"/>
            <c:size val="5"/>
            <c:spPr>
              <a:solidFill>
                <a:schemeClr val="accent6"/>
              </a:solidFill>
              <a:ln w="9525">
                <a:solidFill>
                  <a:schemeClr val="accent6"/>
                </a:solidFill>
              </a:ln>
              <a:effectLst/>
            </c:spPr>
          </c:marker>
          <c:xVal>
            <c:numRef>
              <c:f>'Piston Velocity'!$A$21:$A$220</c:f>
              <c:numCache>
                <c:formatCode>General</c:formatCode>
                <c:ptCount val="200"/>
                <c:pt idx="0">
                  <c:v>0.1</c:v>
                </c:pt>
                <c:pt idx="1">
                  <c:v>0.2</c:v>
                </c:pt>
                <c:pt idx="2">
                  <c:v>0.3</c:v>
                </c:pt>
                <c:pt idx="3">
                  <c:v>0.4</c:v>
                </c:pt>
                <c:pt idx="4">
                  <c:v>0.5</c:v>
                </c:pt>
                <c:pt idx="5">
                  <c:v>0.6</c:v>
                </c:pt>
                <c:pt idx="6">
                  <c:v>0.7</c:v>
                </c:pt>
                <c:pt idx="7">
                  <c:v>0.8</c:v>
                </c:pt>
                <c:pt idx="8">
                  <c:v>0.9</c:v>
                </c:pt>
                <c:pt idx="9">
                  <c:v>1</c:v>
                </c:pt>
                <c:pt idx="10">
                  <c:v>1.1000000000000001</c:v>
                </c:pt>
                <c:pt idx="11">
                  <c:v>1.2</c:v>
                </c:pt>
                <c:pt idx="12">
                  <c:v>1.3</c:v>
                </c:pt>
                <c:pt idx="13">
                  <c:v>1.4</c:v>
                </c:pt>
                <c:pt idx="14">
                  <c:v>1.5</c:v>
                </c:pt>
                <c:pt idx="15">
                  <c:v>1.6</c:v>
                </c:pt>
                <c:pt idx="16">
                  <c:v>1.7</c:v>
                </c:pt>
                <c:pt idx="17">
                  <c:v>1.8</c:v>
                </c:pt>
                <c:pt idx="18">
                  <c:v>1.9</c:v>
                </c:pt>
                <c:pt idx="19">
                  <c:v>2</c:v>
                </c:pt>
                <c:pt idx="20">
                  <c:v>2.1</c:v>
                </c:pt>
                <c:pt idx="21">
                  <c:v>2.2000000000000002</c:v>
                </c:pt>
                <c:pt idx="22">
                  <c:v>2.2999999999999998</c:v>
                </c:pt>
                <c:pt idx="23">
                  <c:v>2.4</c:v>
                </c:pt>
                <c:pt idx="24">
                  <c:v>2.5</c:v>
                </c:pt>
                <c:pt idx="25">
                  <c:v>2.6</c:v>
                </c:pt>
                <c:pt idx="26">
                  <c:v>2.7</c:v>
                </c:pt>
                <c:pt idx="27">
                  <c:v>2.8</c:v>
                </c:pt>
                <c:pt idx="28">
                  <c:v>2.9</c:v>
                </c:pt>
                <c:pt idx="29">
                  <c:v>3</c:v>
                </c:pt>
                <c:pt idx="30">
                  <c:v>3.1</c:v>
                </c:pt>
                <c:pt idx="31">
                  <c:v>3.2</c:v>
                </c:pt>
                <c:pt idx="32">
                  <c:v>3.3</c:v>
                </c:pt>
                <c:pt idx="33">
                  <c:v>3.4</c:v>
                </c:pt>
                <c:pt idx="34">
                  <c:v>3.5</c:v>
                </c:pt>
                <c:pt idx="35">
                  <c:v>3.6</c:v>
                </c:pt>
                <c:pt idx="36">
                  <c:v>3.7</c:v>
                </c:pt>
                <c:pt idx="37">
                  <c:v>3.8</c:v>
                </c:pt>
                <c:pt idx="38">
                  <c:v>3.9</c:v>
                </c:pt>
                <c:pt idx="39">
                  <c:v>4</c:v>
                </c:pt>
                <c:pt idx="40">
                  <c:v>4.0999999999999996</c:v>
                </c:pt>
                <c:pt idx="41">
                  <c:v>4.2</c:v>
                </c:pt>
                <c:pt idx="42">
                  <c:v>4.3</c:v>
                </c:pt>
                <c:pt idx="43">
                  <c:v>4.4000000000000004</c:v>
                </c:pt>
                <c:pt idx="44">
                  <c:v>4.5</c:v>
                </c:pt>
                <c:pt idx="45">
                  <c:v>4.5999999999999996</c:v>
                </c:pt>
                <c:pt idx="46">
                  <c:v>4.7</c:v>
                </c:pt>
                <c:pt idx="47">
                  <c:v>4.8</c:v>
                </c:pt>
                <c:pt idx="48">
                  <c:v>4.9000000000000004</c:v>
                </c:pt>
                <c:pt idx="49">
                  <c:v>5</c:v>
                </c:pt>
                <c:pt idx="50">
                  <c:v>5.0999999999999996</c:v>
                </c:pt>
                <c:pt idx="51">
                  <c:v>5.2</c:v>
                </c:pt>
                <c:pt idx="52">
                  <c:v>5.3</c:v>
                </c:pt>
                <c:pt idx="53">
                  <c:v>5.4</c:v>
                </c:pt>
                <c:pt idx="54">
                  <c:v>5.5</c:v>
                </c:pt>
                <c:pt idx="55">
                  <c:v>5.6</c:v>
                </c:pt>
                <c:pt idx="56">
                  <c:v>5.7</c:v>
                </c:pt>
                <c:pt idx="57">
                  <c:v>5.8</c:v>
                </c:pt>
                <c:pt idx="58">
                  <c:v>5.9</c:v>
                </c:pt>
                <c:pt idx="59">
                  <c:v>6</c:v>
                </c:pt>
                <c:pt idx="60">
                  <c:v>6.1</c:v>
                </c:pt>
                <c:pt idx="61">
                  <c:v>6.2</c:v>
                </c:pt>
                <c:pt idx="62">
                  <c:v>6.3</c:v>
                </c:pt>
                <c:pt idx="63">
                  <c:v>6.4</c:v>
                </c:pt>
                <c:pt idx="64">
                  <c:v>6.5</c:v>
                </c:pt>
                <c:pt idx="65">
                  <c:v>6.6</c:v>
                </c:pt>
                <c:pt idx="66">
                  <c:v>6.7</c:v>
                </c:pt>
                <c:pt idx="67">
                  <c:v>6.8</c:v>
                </c:pt>
                <c:pt idx="68">
                  <c:v>6.9</c:v>
                </c:pt>
                <c:pt idx="69">
                  <c:v>7</c:v>
                </c:pt>
                <c:pt idx="70">
                  <c:v>7.1</c:v>
                </c:pt>
                <c:pt idx="71">
                  <c:v>7.2</c:v>
                </c:pt>
                <c:pt idx="72">
                  <c:v>7.3</c:v>
                </c:pt>
                <c:pt idx="73">
                  <c:v>7.4</c:v>
                </c:pt>
                <c:pt idx="74">
                  <c:v>7.5</c:v>
                </c:pt>
                <c:pt idx="75">
                  <c:v>7.6</c:v>
                </c:pt>
                <c:pt idx="76">
                  <c:v>7.7</c:v>
                </c:pt>
                <c:pt idx="77">
                  <c:v>7.8</c:v>
                </c:pt>
                <c:pt idx="78">
                  <c:v>7.9</c:v>
                </c:pt>
                <c:pt idx="79">
                  <c:v>8</c:v>
                </c:pt>
                <c:pt idx="80">
                  <c:v>8.1</c:v>
                </c:pt>
                <c:pt idx="81">
                  <c:v>8.1999999999999993</c:v>
                </c:pt>
                <c:pt idx="82">
                  <c:v>8.3000000000000007</c:v>
                </c:pt>
                <c:pt idx="83">
                  <c:v>8.4</c:v>
                </c:pt>
                <c:pt idx="84">
                  <c:v>8.5</c:v>
                </c:pt>
                <c:pt idx="85">
                  <c:v>8.6</c:v>
                </c:pt>
                <c:pt idx="86">
                  <c:v>8.6999999999999993</c:v>
                </c:pt>
                <c:pt idx="87">
                  <c:v>8.8000000000000007</c:v>
                </c:pt>
                <c:pt idx="88">
                  <c:v>8.9</c:v>
                </c:pt>
                <c:pt idx="89">
                  <c:v>9</c:v>
                </c:pt>
                <c:pt idx="90">
                  <c:v>9.1</c:v>
                </c:pt>
                <c:pt idx="91">
                  <c:v>9.1999999999999993</c:v>
                </c:pt>
                <c:pt idx="92">
                  <c:v>9.3000000000000007</c:v>
                </c:pt>
                <c:pt idx="93">
                  <c:v>9.4</c:v>
                </c:pt>
                <c:pt idx="94">
                  <c:v>9.5</c:v>
                </c:pt>
                <c:pt idx="95">
                  <c:v>9.6</c:v>
                </c:pt>
                <c:pt idx="96">
                  <c:v>9.6999999999999993</c:v>
                </c:pt>
                <c:pt idx="97">
                  <c:v>9.8000000000000007</c:v>
                </c:pt>
                <c:pt idx="98">
                  <c:v>9.9</c:v>
                </c:pt>
                <c:pt idx="99">
                  <c:v>10</c:v>
                </c:pt>
                <c:pt idx="100">
                  <c:v>10.1</c:v>
                </c:pt>
                <c:pt idx="101">
                  <c:v>10.199999999999999</c:v>
                </c:pt>
                <c:pt idx="102">
                  <c:v>10.3</c:v>
                </c:pt>
                <c:pt idx="103">
                  <c:v>10.4</c:v>
                </c:pt>
                <c:pt idx="104">
                  <c:v>10.5</c:v>
                </c:pt>
                <c:pt idx="105">
                  <c:v>10.6</c:v>
                </c:pt>
                <c:pt idx="106">
                  <c:v>10.7</c:v>
                </c:pt>
                <c:pt idx="107">
                  <c:v>10.8</c:v>
                </c:pt>
                <c:pt idx="108">
                  <c:v>10.9</c:v>
                </c:pt>
                <c:pt idx="109">
                  <c:v>11</c:v>
                </c:pt>
                <c:pt idx="110">
                  <c:v>11.1</c:v>
                </c:pt>
                <c:pt idx="111">
                  <c:v>11.2</c:v>
                </c:pt>
                <c:pt idx="112">
                  <c:v>11.3</c:v>
                </c:pt>
                <c:pt idx="113">
                  <c:v>11.4</c:v>
                </c:pt>
                <c:pt idx="114">
                  <c:v>11.5</c:v>
                </c:pt>
                <c:pt idx="115">
                  <c:v>11.6</c:v>
                </c:pt>
                <c:pt idx="116">
                  <c:v>11.7</c:v>
                </c:pt>
                <c:pt idx="117">
                  <c:v>11.8</c:v>
                </c:pt>
                <c:pt idx="118">
                  <c:v>11.9</c:v>
                </c:pt>
                <c:pt idx="119">
                  <c:v>12</c:v>
                </c:pt>
                <c:pt idx="120">
                  <c:v>12.1</c:v>
                </c:pt>
                <c:pt idx="121">
                  <c:v>12.2</c:v>
                </c:pt>
                <c:pt idx="122">
                  <c:v>12.3</c:v>
                </c:pt>
                <c:pt idx="123">
                  <c:v>12.4</c:v>
                </c:pt>
                <c:pt idx="124">
                  <c:v>12.5</c:v>
                </c:pt>
                <c:pt idx="125">
                  <c:v>12.6</c:v>
                </c:pt>
                <c:pt idx="126">
                  <c:v>12.7</c:v>
                </c:pt>
                <c:pt idx="127">
                  <c:v>12.8</c:v>
                </c:pt>
                <c:pt idx="128">
                  <c:v>12.9</c:v>
                </c:pt>
                <c:pt idx="129">
                  <c:v>13</c:v>
                </c:pt>
                <c:pt idx="130">
                  <c:v>13.1</c:v>
                </c:pt>
                <c:pt idx="131">
                  <c:v>13.2</c:v>
                </c:pt>
                <c:pt idx="132">
                  <c:v>13.3</c:v>
                </c:pt>
                <c:pt idx="133">
                  <c:v>13.4</c:v>
                </c:pt>
                <c:pt idx="134">
                  <c:v>13.5</c:v>
                </c:pt>
                <c:pt idx="135">
                  <c:v>13.6</c:v>
                </c:pt>
                <c:pt idx="136">
                  <c:v>13.7</c:v>
                </c:pt>
                <c:pt idx="137">
                  <c:v>13.8</c:v>
                </c:pt>
                <c:pt idx="138">
                  <c:v>13.9</c:v>
                </c:pt>
                <c:pt idx="139">
                  <c:v>14</c:v>
                </c:pt>
                <c:pt idx="140">
                  <c:v>14.1</c:v>
                </c:pt>
                <c:pt idx="141">
                  <c:v>14.2</c:v>
                </c:pt>
                <c:pt idx="142">
                  <c:v>14.3</c:v>
                </c:pt>
                <c:pt idx="143">
                  <c:v>14.4</c:v>
                </c:pt>
                <c:pt idx="144">
                  <c:v>14.5</c:v>
                </c:pt>
                <c:pt idx="145">
                  <c:v>14.6</c:v>
                </c:pt>
                <c:pt idx="146">
                  <c:v>14.7</c:v>
                </c:pt>
                <c:pt idx="147">
                  <c:v>14.8</c:v>
                </c:pt>
                <c:pt idx="148">
                  <c:v>14.9</c:v>
                </c:pt>
                <c:pt idx="149">
                  <c:v>15</c:v>
                </c:pt>
                <c:pt idx="150">
                  <c:v>15.1</c:v>
                </c:pt>
                <c:pt idx="151">
                  <c:v>15.2</c:v>
                </c:pt>
                <c:pt idx="152">
                  <c:v>15.3</c:v>
                </c:pt>
                <c:pt idx="153">
                  <c:v>15.4</c:v>
                </c:pt>
                <c:pt idx="154">
                  <c:v>15.5</c:v>
                </c:pt>
                <c:pt idx="155">
                  <c:v>15.6</c:v>
                </c:pt>
                <c:pt idx="156">
                  <c:v>15.7</c:v>
                </c:pt>
                <c:pt idx="157">
                  <c:v>15.8</c:v>
                </c:pt>
                <c:pt idx="158">
                  <c:v>15.9</c:v>
                </c:pt>
                <c:pt idx="159">
                  <c:v>16</c:v>
                </c:pt>
                <c:pt idx="160">
                  <c:v>16.100000000000001</c:v>
                </c:pt>
                <c:pt idx="161">
                  <c:v>16.2</c:v>
                </c:pt>
                <c:pt idx="162">
                  <c:v>16.3</c:v>
                </c:pt>
                <c:pt idx="163">
                  <c:v>16.399999999999999</c:v>
                </c:pt>
                <c:pt idx="164">
                  <c:v>16.5</c:v>
                </c:pt>
                <c:pt idx="165">
                  <c:v>16.600000000000001</c:v>
                </c:pt>
                <c:pt idx="166">
                  <c:v>16.7</c:v>
                </c:pt>
                <c:pt idx="167">
                  <c:v>16.8</c:v>
                </c:pt>
                <c:pt idx="168">
                  <c:v>16.899999999999999</c:v>
                </c:pt>
                <c:pt idx="169">
                  <c:v>17</c:v>
                </c:pt>
                <c:pt idx="170">
                  <c:v>17.100000000000001</c:v>
                </c:pt>
                <c:pt idx="171">
                  <c:v>17.2</c:v>
                </c:pt>
                <c:pt idx="172">
                  <c:v>17.3</c:v>
                </c:pt>
                <c:pt idx="173">
                  <c:v>17.399999999999999</c:v>
                </c:pt>
                <c:pt idx="174">
                  <c:v>17.5</c:v>
                </c:pt>
                <c:pt idx="175">
                  <c:v>17.600000000000001</c:v>
                </c:pt>
                <c:pt idx="176">
                  <c:v>17.7</c:v>
                </c:pt>
                <c:pt idx="177">
                  <c:v>17.8</c:v>
                </c:pt>
                <c:pt idx="178">
                  <c:v>17.899999999999999</c:v>
                </c:pt>
                <c:pt idx="179">
                  <c:v>18</c:v>
                </c:pt>
                <c:pt idx="180">
                  <c:v>18.100000000000001</c:v>
                </c:pt>
                <c:pt idx="181">
                  <c:v>18.2</c:v>
                </c:pt>
                <c:pt idx="182">
                  <c:v>18.3</c:v>
                </c:pt>
                <c:pt idx="183">
                  <c:v>18.399999999999999</c:v>
                </c:pt>
                <c:pt idx="184">
                  <c:v>18.5</c:v>
                </c:pt>
                <c:pt idx="185">
                  <c:v>18.600000000000001</c:v>
                </c:pt>
                <c:pt idx="186">
                  <c:v>18.7</c:v>
                </c:pt>
                <c:pt idx="187">
                  <c:v>18.8</c:v>
                </c:pt>
                <c:pt idx="188">
                  <c:v>18.899999999999999</c:v>
                </c:pt>
                <c:pt idx="189">
                  <c:v>19</c:v>
                </c:pt>
                <c:pt idx="190">
                  <c:v>19.100000000000001</c:v>
                </c:pt>
                <c:pt idx="191">
                  <c:v>19.2</c:v>
                </c:pt>
                <c:pt idx="192">
                  <c:v>19.3</c:v>
                </c:pt>
                <c:pt idx="193">
                  <c:v>19.399999999999999</c:v>
                </c:pt>
                <c:pt idx="194">
                  <c:v>19.5</c:v>
                </c:pt>
                <c:pt idx="195">
                  <c:v>19.600000000000001</c:v>
                </c:pt>
                <c:pt idx="196">
                  <c:v>19.7</c:v>
                </c:pt>
                <c:pt idx="197">
                  <c:v>19.8</c:v>
                </c:pt>
                <c:pt idx="198">
                  <c:v>19.899999999999999</c:v>
                </c:pt>
                <c:pt idx="199">
                  <c:v>20</c:v>
                </c:pt>
              </c:numCache>
            </c:numRef>
          </c:xVal>
          <c:yVal>
            <c:numRef>
              <c:f>'Piston Velocity'!$E$21:$E$220</c:f>
              <c:numCache>
                <c:formatCode>General</c:formatCode>
                <c:ptCount val="200"/>
                <c:pt idx="0">
                  <c:v>2.0742898139771829E-2</c:v>
                </c:pt>
                <c:pt idx="1">
                  <c:v>2.0839376467315578E-2</c:v>
                </c:pt>
                <c:pt idx="2">
                  <c:v>2.0977679995061206E-2</c:v>
                </c:pt>
                <c:pt idx="3">
                  <c:v>2.1152835478290975E-2</c:v>
                </c:pt>
                <c:pt idx="4">
                  <c:v>2.136174012217289E-2</c:v>
                </c:pt>
                <c:pt idx="5">
                  <c:v>2.1602184965634614E-2</c:v>
                </c:pt>
                <c:pt idx="6">
                  <c:v>2.1872479148569025E-2</c:v>
                </c:pt>
                <c:pt idx="7">
                  <c:v>2.2171266809587874E-2</c:v>
                </c:pt>
                <c:pt idx="8">
                  <c:v>2.2497424785021192E-2</c:v>
                </c:pt>
                <c:pt idx="9">
                  <c:v>2.2849999999999995E-2</c:v>
                </c:pt>
                <c:pt idx="10">
                  <c:v>2.3228168551227127E-2</c:v>
                </c:pt>
                <c:pt idx="11">
                  <c:v>2.363120760117313E-2</c:v>
                </c:pt>
                <c:pt idx="12">
                  <c:v>2.4058475301713803E-2</c:v>
                </c:pt>
                <c:pt idx="13">
                  <c:v>2.4509395992411639E-2</c:v>
                </c:pt>
                <c:pt idx="14">
                  <c:v>2.498344899881725E-2</c:v>
                </c:pt>
                <c:pt idx="15">
                  <c:v>2.548015996706858E-2</c:v>
                </c:pt>
                <c:pt idx="16">
                  <c:v>2.5999094033892466E-2</c:v>
                </c:pt>
                <c:pt idx="17">
                  <c:v>2.6539850355614219E-2</c:v>
                </c:pt>
                <c:pt idx="18">
                  <c:v>2.710205766361767E-2</c:v>
                </c:pt>
                <c:pt idx="19">
                  <c:v>2.7685370608663624E-2</c:v>
                </c:pt>
                <c:pt idx="20">
                  <c:v>2.8289466720834461E-2</c:v>
                </c:pt>
                <c:pt idx="21">
                  <c:v>2.8914043856506824E-2</c:v>
                </c:pt>
                <c:pt idx="22">
                  <c:v>2.9558818035345373E-2</c:v>
                </c:pt>
                <c:pt idx="23">
                  <c:v>3.0223521593081958E-2</c:v>
                </c:pt>
                <c:pt idx="24">
                  <c:v>3.0907901592528774E-2</c:v>
                </c:pt>
                <c:pt idx="25">
                  <c:v>3.1611718447681063E-2</c:v>
                </c:pt>
                <c:pt idx="26">
                  <c:v>3.2334744725115494E-2</c:v>
                </c:pt>
                <c:pt idx="27">
                  <c:v>3.3076764094024769E-2</c:v>
                </c:pt>
                <c:pt idx="28">
                  <c:v>3.3837570401734067E-2</c:v>
                </c:pt>
                <c:pt idx="29">
                  <c:v>3.461696685583613E-2</c:v>
                </c:pt>
                <c:pt idx="30">
                  <c:v>3.5414765297459988E-2</c:v>
                </c:pt>
                <c:pt idx="31">
                  <c:v>3.6230785552870383E-2</c:v>
                </c:pt>
                <c:pt idx="32">
                  <c:v>3.7064854852741941E-2</c:v>
                </c:pt>
                <c:pt idx="33">
                  <c:v>3.7916807310184757E-2</c:v>
                </c:pt>
                <c:pt idx="34">
                  <c:v>3.8786483450005349E-2</c:v>
                </c:pt>
                <c:pt idx="35">
                  <c:v>3.9673729782837869E-2</c:v>
                </c:pt>
                <c:pt idx="36">
                  <c:v>4.0578398418728082E-2</c:v>
                </c:pt>
                <c:pt idx="37">
                  <c:v>4.1500346715537033E-2</c:v>
                </c:pt>
                <c:pt idx="38">
                  <c:v>4.2439436958183814E-2</c:v>
                </c:pt>
                <c:pt idx="39">
                  <c:v>4.3395536065293776E-2</c:v>
                </c:pt>
                <c:pt idx="40">
                  <c:v>4.4368515320277566E-2</c:v>
                </c:pt>
                <c:pt idx="41">
                  <c:v>4.5358250124254769E-2</c:v>
                </c:pt>
                <c:pt idx="42">
                  <c:v>4.6364619768565166E-2</c:v>
                </c:pt>
                <c:pt idx="43">
                  <c:v>4.7387507224891531E-2</c:v>
                </c:pt>
                <c:pt idx="44">
                  <c:v>4.8426798951257746E-2</c:v>
                </c:pt>
                <c:pt idx="45">
                  <c:v>4.9482384712372485E-2</c:v>
                </c:pt>
                <c:pt idx="46">
                  <c:v>5.055415741296649E-2</c:v>
                </c:pt>
                <c:pt idx="47">
                  <c:v>5.1642012942924705E-2</c:v>
                </c:pt>
                <c:pt idx="48">
                  <c:v>5.2745850033148772E-2</c:v>
                </c:pt>
                <c:pt idx="49">
                  <c:v>5.3865570121200503E-2</c:v>
                </c:pt>
                <c:pt idx="50">
                  <c:v>5.500107722587929E-2</c:v>
                </c:pt>
                <c:pt idx="51">
                  <c:v>5.6152277829973958E-2</c:v>
                </c:pt>
                <c:pt idx="52">
                  <c:v>5.7319080770509068E-2</c:v>
                </c:pt>
                <c:pt idx="53">
                  <c:v>5.8501397135872525E-2</c:v>
                </c:pt>
                <c:pt idx="54">
                  <c:v>5.9699140169273114E-2</c:v>
                </c:pt>
                <c:pt idx="55">
                  <c:v>6.0912225178029737E-2</c:v>
                </c:pt>
                <c:pt idx="56">
                  <c:v>6.2140569448241333E-2</c:v>
                </c:pt>
                <c:pt idx="57">
                  <c:v>6.3384092164429015E-2</c:v>
                </c:pt>
                <c:pt idx="58">
                  <c:v>6.4642714333779633E-2</c:v>
                </c:pt>
                <c:pt idx="59">
                  <c:v>6.591635871465279E-2</c:v>
                </c:pt>
                <c:pt idx="60">
                  <c:v>6.7204949749044382E-2</c:v>
                </c:pt>
                <c:pt idx="61">
                  <c:v>6.8508413498725801E-2</c:v>
                </c:pt>
                <c:pt idx="62">
                  <c:v>6.9826677584802072E-2</c:v>
                </c:pt>
                <c:pt idx="63">
                  <c:v>7.1159671130455099E-2</c:v>
                </c:pt>
                <c:pt idx="64">
                  <c:v>7.2507324706655413E-2</c:v>
                </c:pt>
                <c:pt idx="65">
                  <c:v>7.3869570280646404E-2</c:v>
                </c:pt>
                <c:pt idx="66">
                  <c:v>7.5246341167018199E-2</c:v>
                </c:pt>
                <c:pt idx="67">
                  <c:v>7.6637571981204508E-2</c:v>
                </c:pt>
                <c:pt idx="68">
                  <c:v>7.8043198595248817E-2</c:v>
                </c:pt>
                <c:pt idx="69">
                  <c:v>7.946315809569697E-2</c:v>
                </c:pt>
                <c:pt idx="70">
                  <c:v>8.0897388743485343E-2</c:v>
                </c:pt>
                <c:pt idx="71">
                  <c:v>8.2345829935702899E-2</c:v>
                </c:pt>
                <c:pt idx="72">
                  <c:v>8.3808422169114924E-2</c:v>
                </c:pt>
                <c:pt idx="73">
                  <c:v>8.5285107005343572E-2</c:v>
                </c:pt>
                <c:pt idx="74">
                  <c:v>8.6775827037609152E-2</c:v>
                </c:pt>
                <c:pt idx="75">
                  <c:v>8.8280525858942027E-2</c:v>
                </c:pt>
                <c:pt idx="76">
                  <c:v>8.9799148031780865E-2</c:v>
                </c:pt>
                <c:pt idx="77">
                  <c:v>9.1331639058880504E-2</c:v>
                </c:pt>
                <c:pt idx="78">
                  <c:v>9.2877945355456223E-2</c:v>
                </c:pt>
                <c:pt idx="79">
                  <c:v>9.4438014222496938E-2</c:v>
                </c:pt>
                <c:pt idx="80">
                  <c:v>9.6011793821184438E-2</c:v>
                </c:pt>
                <c:pt idx="81">
                  <c:v>9.759923314835893E-2</c:v>
                </c:pt>
                <c:pt idx="82">
                  <c:v>9.9200282012977065E-2</c:v>
                </c:pt>
                <c:pt idx="83">
                  <c:v>0.10081489101350952</c:v>
                </c:pt>
                <c:pt idx="84">
                  <c:v>0.10244301151623071</c:v>
                </c:pt>
                <c:pt idx="85">
                  <c:v>0.10408459563435465</c:v>
                </c:pt>
                <c:pt idx="86">
                  <c:v>0.10573959620797523</c:v>
                </c:pt>
                <c:pt idx="87">
                  <c:v>0.10740796678477001</c:v>
                </c:pt>
                <c:pt idx="88">
                  <c:v>0.10908966160143092</c:v>
                </c:pt>
                <c:pt idx="89">
                  <c:v>0.11078463556578665</c:v>
                </c:pt>
                <c:pt idx="90">
                  <c:v>0.11249284423958215</c:v>
                </c:pt>
                <c:pt idx="91">
                  <c:v>0.11421424382188652</c:v>
                </c:pt>
                <c:pt idx="92">
                  <c:v>0.11594879113309688</c:v>
                </c:pt>
                <c:pt idx="93">
                  <c:v>0.11769644359951321</c:v>
                </c:pt>
                <c:pt idx="94">
                  <c:v>0.11945715923845639</c:v>
                </c:pt>
                <c:pt idx="95">
                  <c:v>0.12123089664390495</c:v>
                </c:pt>
                <c:pt idx="96">
                  <c:v>0.12301761497262791</c:v>
                </c:pt>
                <c:pt idx="97">
                  <c:v>0.12481727393079059</c:v>
                </c:pt>
                <c:pt idx="98">
                  <c:v>0.12662983376101331</c:v>
                </c:pt>
                <c:pt idx="99">
                  <c:v>0.12845525522986356</c:v>
                </c:pt>
                <c:pt idx="100">
                  <c:v>0.13029349961576153</c:v>
                </c:pt>
                <c:pt idx="101">
                  <c:v>0.13214452869728296</c:v>
                </c:pt>
                <c:pt idx="102">
                  <c:v>0.13400830474184117</c:v>
                </c:pt>
                <c:pt idx="103">
                  <c:v>0.13588479049473356</c:v>
                </c:pt>
                <c:pt idx="104">
                  <c:v>0.13777394916853627</c:v>
                </c:pt>
                <c:pt idx="105">
                  <c:v>0.13967574443283415</c:v>
                </c:pt>
                <c:pt idx="106">
                  <c:v>0.14159014040427026</c:v>
                </c:pt>
                <c:pt idx="107">
                  <c:v>0.14351710163690476</c:v>
                </c:pt>
                <c:pt idx="108">
                  <c:v>0.14545659311286821</c:v>
                </c:pt>
                <c:pt idx="109">
                  <c:v>0.14740858023329934</c:v>
                </c:pt>
                <c:pt idx="110">
                  <c:v>0.14937302880955536</c:v>
                </c:pt>
                <c:pt idx="111">
                  <c:v>0.15134990505468479</c:v>
                </c:pt>
                <c:pt idx="112">
                  <c:v>0.15333917557515206</c:v>
                </c:pt>
                <c:pt idx="113">
                  <c:v>0.15534080736280403</c:v>
                </c:pt>
                <c:pt idx="114">
                  <c:v>0.15735476778707111</c:v>
                </c:pt>
                <c:pt idx="115">
                  <c:v>0.15938102458739153</c:v>
                </c:pt>
                <c:pt idx="116">
                  <c:v>0.16141954586585258</c:v>
                </c:pt>
                <c:pt idx="117">
                  <c:v>0.16347030008004004</c:v>
                </c:pt>
                <c:pt idx="118">
                  <c:v>0.16553325603608735</c:v>
                </c:pt>
                <c:pt idx="119">
                  <c:v>0.16760838288191951</c:v>
                </c:pt>
                <c:pt idx="120">
                  <c:v>0.16969565010068213</c:v>
                </c:pt>
                <c:pt idx="121">
                  <c:v>0.17179502750435044</c:v>
                </c:pt>
                <c:pt idx="122">
                  <c:v>0.17390648522751287</c:v>
                </c:pt>
                <c:pt idx="123">
                  <c:v>0.17602999372131922</c:v>
                </c:pt>
                <c:pt idx="124">
                  <c:v>0.17816552374759417</c:v>
                </c:pt>
                <c:pt idx="125">
                  <c:v>0.18031304637310253</c:v>
                </c:pt>
                <c:pt idx="126">
                  <c:v>0.18247253296396879</c:v>
                </c:pt>
                <c:pt idx="127">
                  <c:v>0.18464395518023874</c:v>
                </c:pt>
                <c:pt idx="128">
                  <c:v>0.18682728497058523</c:v>
                </c:pt>
                <c:pt idx="129">
                  <c:v>0.18902249456714584</c:v>
                </c:pt>
                <c:pt idx="130">
                  <c:v>0.19122955648049594</c:v>
                </c:pt>
                <c:pt idx="131">
                  <c:v>0.19344844349474538</c:v>
                </c:pt>
                <c:pt idx="132">
                  <c:v>0.19567912866275997</c:v>
                </c:pt>
                <c:pt idx="133">
                  <c:v>0.19792158530150122</c:v>
                </c:pt>
                <c:pt idx="134">
                  <c:v>0.20017578698748179</c:v>
                </c:pt>
                <c:pt idx="135">
                  <c:v>0.20244170755233107</c:v>
                </c:pt>
                <c:pt idx="136">
                  <c:v>0.20471932107846993</c:v>
                </c:pt>
                <c:pt idx="137">
                  <c:v>0.20700860189488943</c:v>
                </c:pt>
                <c:pt idx="138">
                  <c:v>0.20930952457303004</c:v>
                </c:pt>
                <c:pt idx="139">
                  <c:v>0.2116220639227607</c:v>
                </c:pt>
                <c:pt idx="140">
                  <c:v>0.21394619498845063</c:v>
                </c:pt>
                <c:pt idx="141">
                  <c:v>0.21628189304513537</c:v>
                </c:pt>
                <c:pt idx="142">
                  <c:v>0.21862913359477076</c:v>
                </c:pt>
                <c:pt idx="143">
                  <c:v>0.22098789236257449</c:v>
                </c:pt>
                <c:pt idx="144">
                  <c:v>0.22335814529345119</c:v>
                </c:pt>
                <c:pt idx="145">
                  <c:v>0.22573986854849831</c:v>
                </c:pt>
                <c:pt idx="146">
                  <c:v>0.22813303850159364</c:v>
                </c:pt>
                <c:pt idx="147">
                  <c:v>0.23053763173605674</c:v>
                </c:pt>
                <c:pt idx="148">
                  <c:v>0.23295362504138697</c:v>
                </c:pt>
                <c:pt idx="149">
                  <c:v>0.23538099541007285</c:v>
                </c:pt>
                <c:pt idx="150">
                  <c:v>0.23781972003447216</c:v>
                </c:pt>
                <c:pt idx="151">
                  <c:v>0.24026977630376073</c:v>
                </c:pt>
                <c:pt idx="152">
                  <c:v>0.24273114180094754</c:v>
                </c:pt>
                <c:pt idx="153">
                  <c:v>0.24520379429995312</c:v>
                </c:pt>
                <c:pt idx="154">
                  <c:v>0.24768771176275209</c:v>
                </c:pt>
                <c:pt idx="155">
                  <c:v>0.25018287233657721</c:v>
                </c:pt>
                <c:pt idx="156">
                  <c:v>0.25268925435118095</c:v>
                </c:pt>
                <c:pt idx="157">
                  <c:v>0.25520683631615476</c:v>
                </c:pt>
                <c:pt idx="158">
                  <c:v>0.25773559691830744</c:v>
                </c:pt>
                <c:pt idx="159">
                  <c:v>0.2602755150190933</c:v>
                </c:pt>
                <c:pt idx="160">
                  <c:v>0.26282656965209855</c:v>
                </c:pt>
                <c:pt idx="161">
                  <c:v>0.265388740020575</c:v>
                </c:pt>
                <c:pt idx="162">
                  <c:v>0.26796200549502719</c:v>
                </c:pt>
                <c:pt idx="163">
                  <c:v>0.27054634561084562</c:v>
                </c:pt>
                <c:pt idx="164">
                  <c:v>0.27314174006599135</c:v>
                </c:pt>
                <c:pt idx="165">
                  <c:v>0.27574816871872371</c:v>
                </c:pt>
                <c:pt idx="166">
                  <c:v>0.27836561158537448</c:v>
                </c:pt>
                <c:pt idx="167">
                  <c:v>0.28099404883816698</c:v>
                </c:pt>
                <c:pt idx="168">
                  <c:v>0.28363346080307678</c:v>
                </c:pt>
                <c:pt idx="169">
                  <c:v>0.28628382795773505</c:v>
                </c:pt>
                <c:pt idx="170">
                  <c:v>0.28894513092937202</c:v>
                </c:pt>
                <c:pt idx="171">
                  <c:v>0.29161735049280124</c:v>
                </c:pt>
                <c:pt idx="172">
                  <c:v>0.29430046756844169</c:v>
                </c:pt>
                <c:pt idx="173">
                  <c:v>0.29699446322037809</c:v>
                </c:pt>
                <c:pt idx="174">
                  <c:v>0.29969931865445815</c:v>
                </c:pt>
                <c:pt idx="175">
                  <c:v>0.30241501521642528</c:v>
                </c:pt>
                <c:pt idx="176">
                  <c:v>0.30514153439008651</c:v>
                </c:pt>
                <c:pt idx="177">
                  <c:v>0.30787885779551605</c:v>
                </c:pt>
                <c:pt idx="178">
                  <c:v>0.31062696718728933</c:v>
                </c:pt>
                <c:pt idx="179">
                  <c:v>0.3133858444527533</c:v>
                </c:pt>
                <c:pt idx="180">
                  <c:v>0.31615547161032448</c:v>
                </c:pt>
                <c:pt idx="181">
                  <c:v>0.31893583080782117</c:v>
                </c:pt>
                <c:pt idx="182">
                  <c:v>0.32172690432082585</c:v>
                </c:pt>
                <c:pt idx="183">
                  <c:v>0.32452867455107437</c:v>
                </c:pt>
                <c:pt idx="184">
                  <c:v>0.32734112402487803</c:v>
                </c:pt>
                <c:pt idx="185">
                  <c:v>0.3301642353915698</c:v>
                </c:pt>
                <c:pt idx="186">
                  <c:v>0.33299799142198205</c:v>
                </c:pt>
                <c:pt idx="187">
                  <c:v>0.33584237500694825</c:v>
                </c:pt>
                <c:pt idx="188">
                  <c:v>0.33869736915583171</c:v>
                </c:pt>
                <c:pt idx="189">
                  <c:v>0.34156295699508199</c:v>
                </c:pt>
                <c:pt idx="190">
                  <c:v>0.34443912176681396</c:v>
                </c:pt>
                <c:pt idx="191">
                  <c:v>0.34732584682741141</c:v>
                </c:pt>
                <c:pt idx="192">
                  <c:v>0.35022311564615777</c:v>
                </c:pt>
                <c:pt idx="193">
                  <c:v>0.35313091180388667</c:v>
                </c:pt>
                <c:pt idx="194">
                  <c:v>0.35604921899165726</c:v>
                </c:pt>
                <c:pt idx="195">
                  <c:v>0.35897802100945309</c:v>
                </c:pt>
                <c:pt idx="196">
                  <c:v>0.36191730176489811</c:v>
                </c:pt>
                <c:pt idx="197">
                  <c:v>0.36486704527200287</c:v>
                </c:pt>
                <c:pt idx="198">
                  <c:v>0.36782723564992159</c:v>
                </c:pt>
                <c:pt idx="199">
                  <c:v>0.37079785712173774</c:v>
                </c:pt>
              </c:numCache>
            </c:numRef>
          </c:yVal>
          <c:smooth val="0"/>
          <c:extLst>
            <c:ext xmlns:c16="http://schemas.microsoft.com/office/drawing/2014/chart" uri="{C3380CC4-5D6E-409C-BE32-E72D297353CC}">
              <c16:uniqueId val="{00000006-CED8-8548-8BDB-E89EDCAA6827}"/>
            </c:ext>
          </c:extLst>
        </c:ser>
        <c:ser>
          <c:idx val="6"/>
          <c:order val="6"/>
          <c:tx>
            <c:v>Ho et al., 2016</c:v>
          </c:tx>
          <c:spPr>
            <a:ln w="25400" cap="rnd">
              <a:noFill/>
              <a:round/>
            </a:ln>
            <a:effectLst/>
          </c:spPr>
          <c:marker>
            <c:symbol val="circle"/>
            <c:size val="5"/>
            <c:spPr>
              <a:solidFill>
                <a:schemeClr val="accent1">
                  <a:lumMod val="60000"/>
                </a:schemeClr>
              </a:solidFill>
              <a:ln w="9525">
                <a:solidFill>
                  <a:schemeClr val="accent1">
                    <a:lumMod val="60000"/>
                  </a:schemeClr>
                </a:solidFill>
              </a:ln>
              <a:effectLst/>
            </c:spPr>
          </c:marker>
          <c:xVal>
            <c:numRef>
              <c:f>'Piston Velocity'!$A$21:$A$220</c:f>
              <c:numCache>
                <c:formatCode>General</c:formatCode>
                <c:ptCount val="200"/>
                <c:pt idx="0">
                  <c:v>0.1</c:v>
                </c:pt>
                <c:pt idx="1">
                  <c:v>0.2</c:v>
                </c:pt>
                <c:pt idx="2">
                  <c:v>0.3</c:v>
                </c:pt>
                <c:pt idx="3">
                  <c:v>0.4</c:v>
                </c:pt>
                <c:pt idx="4">
                  <c:v>0.5</c:v>
                </c:pt>
                <c:pt idx="5">
                  <c:v>0.6</c:v>
                </c:pt>
                <c:pt idx="6">
                  <c:v>0.7</c:v>
                </c:pt>
                <c:pt idx="7">
                  <c:v>0.8</c:v>
                </c:pt>
                <c:pt idx="8">
                  <c:v>0.9</c:v>
                </c:pt>
                <c:pt idx="9">
                  <c:v>1</c:v>
                </c:pt>
                <c:pt idx="10">
                  <c:v>1.1000000000000001</c:v>
                </c:pt>
                <c:pt idx="11">
                  <c:v>1.2</c:v>
                </c:pt>
                <c:pt idx="12">
                  <c:v>1.3</c:v>
                </c:pt>
                <c:pt idx="13">
                  <c:v>1.4</c:v>
                </c:pt>
                <c:pt idx="14">
                  <c:v>1.5</c:v>
                </c:pt>
                <c:pt idx="15">
                  <c:v>1.6</c:v>
                </c:pt>
                <c:pt idx="16">
                  <c:v>1.7</c:v>
                </c:pt>
                <c:pt idx="17">
                  <c:v>1.8</c:v>
                </c:pt>
                <c:pt idx="18">
                  <c:v>1.9</c:v>
                </c:pt>
                <c:pt idx="19">
                  <c:v>2</c:v>
                </c:pt>
                <c:pt idx="20">
                  <c:v>2.1</c:v>
                </c:pt>
                <c:pt idx="21">
                  <c:v>2.2000000000000002</c:v>
                </c:pt>
                <c:pt idx="22">
                  <c:v>2.2999999999999998</c:v>
                </c:pt>
                <c:pt idx="23">
                  <c:v>2.4</c:v>
                </c:pt>
                <c:pt idx="24">
                  <c:v>2.5</c:v>
                </c:pt>
                <c:pt idx="25">
                  <c:v>2.6</c:v>
                </c:pt>
                <c:pt idx="26">
                  <c:v>2.7</c:v>
                </c:pt>
                <c:pt idx="27">
                  <c:v>2.8</c:v>
                </c:pt>
                <c:pt idx="28">
                  <c:v>2.9</c:v>
                </c:pt>
                <c:pt idx="29">
                  <c:v>3</c:v>
                </c:pt>
                <c:pt idx="30">
                  <c:v>3.1</c:v>
                </c:pt>
                <c:pt idx="31">
                  <c:v>3.2</c:v>
                </c:pt>
                <c:pt idx="32">
                  <c:v>3.3</c:v>
                </c:pt>
                <c:pt idx="33">
                  <c:v>3.4</c:v>
                </c:pt>
                <c:pt idx="34">
                  <c:v>3.5</c:v>
                </c:pt>
                <c:pt idx="35">
                  <c:v>3.6</c:v>
                </c:pt>
                <c:pt idx="36">
                  <c:v>3.7</c:v>
                </c:pt>
                <c:pt idx="37">
                  <c:v>3.8</c:v>
                </c:pt>
                <c:pt idx="38">
                  <c:v>3.9</c:v>
                </c:pt>
                <c:pt idx="39">
                  <c:v>4</c:v>
                </c:pt>
                <c:pt idx="40">
                  <c:v>4.0999999999999996</c:v>
                </c:pt>
                <c:pt idx="41">
                  <c:v>4.2</c:v>
                </c:pt>
                <c:pt idx="42">
                  <c:v>4.3</c:v>
                </c:pt>
                <c:pt idx="43">
                  <c:v>4.4000000000000004</c:v>
                </c:pt>
                <c:pt idx="44">
                  <c:v>4.5</c:v>
                </c:pt>
                <c:pt idx="45">
                  <c:v>4.5999999999999996</c:v>
                </c:pt>
                <c:pt idx="46">
                  <c:v>4.7</c:v>
                </c:pt>
                <c:pt idx="47">
                  <c:v>4.8</c:v>
                </c:pt>
                <c:pt idx="48">
                  <c:v>4.9000000000000004</c:v>
                </c:pt>
                <c:pt idx="49">
                  <c:v>5</c:v>
                </c:pt>
                <c:pt idx="50">
                  <c:v>5.0999999999999996</c:v>
                </c:pt>
                <c:pt idx="51">
                  <c:v>5.2</c:v>
                </c:pt>
                <c:pt idx="52">
                  <c:v>5.3</c:v>
                </c:pt>
                <c:pt idx="53">
                  <c:v>5.4</c:v>
                </c:pt>
                <c:pt idx="54">
                  <c:v>5.5</c:v>
                </c:pt>
                <c:pt idx="55">
                  <c:v>5.6</c:v>
                </c:pt>
                <c:pt idx="56">
                  <c:v>5.7</c:v>
                </c:pt>
                <c:pt idx="57">
                  <c:v>5.8</c:v>
                </c:pt>
                <c:pt idx="58">
                  <c:v>5.9</c:v>
                </c:pt>
                <c:pt idx="59">
                  <c:v>6</c:v>
                </c:pt>
                <c:pt idx="60">
                  <c:v>6.1</c:v>
                </c:pt>
                <c:pt idx="61">
                  <c:v>6.2</c:v>
                </c:pt>
                <c:pt idx="62">
                  <c:v>6.3</c:v>
                </c:pt>
                <c:pt idx="63">
                  <c:v>6.4</c:v>
                </c:pt>
                <c:pt idx="64">
                  <c:v>6.5</c:v>
                </c:pt>
                <c:pt idx="65">
                  <c:v>6.6</c:v>
                </c:pt>
                <c:pt idx="66">
                  <c:v>6.7</c:v>
                </c:pt>
                <c:pt idx="67">
                  <c:v>6.8</c:v>
                </c:pt>
                <c:pt idx="68">
                  <c:v>6.9</c:v>
                </c:pt>
                <c:pt idx="69">
                  <c:v>7</c:v>
                </c:pt>
                <c:pt idx="70">
                  <c:v>7.1</c:v>
                </c:pt>
                <c:pt idx="71">
                  <c:v>7.2</c:v>
                </c:pt>
                <c:pt idx="72">
                  <c:v>7.3</c:v>
                </c:pt>
                <c:pt idx="73">
                  <c:v>7.4</c:v>
                </c:pt>
                <c:pt idx="74">
                  <c:v>7.5</c:v>
                </c:pt>
                <c:pt idx="75">
                  <c:v>7.6</c:v>
                </c:pt>
                <c:pt idx="76">
                  <c:v>7.7</c:v>
                </c:pt>
                <c:pt idx="77">
                  <c:v>7.8</c:v>
                </c:pt>
                <c:pt idx="78">
                  <c:v>7.9</c:v>
                </c:pt>
                <c:pt idx="79">
                  <c:v>8</c:v>
                </c:pt>
                <c:pt idx="80">
                  <c:v>8.1</c:v>
                </c:pt>
                <c:pt idx="81">
                  <c:v>8.1999999999999993</c:v>
                </c:pt>
                <c:pt idx="82">
                  <c:v>8.3000000000000007</c:v>
                </c:pt>
                <c:pt idx="83">
                  <c:v>8.4</c:v>
                </c:pt>
                <c:pt idx="84">
                  <c:v>8.5</c:v>
                </c:pt>
                <c:pt idx="85">
                  <c:v>8.6</c:v>
                </c:pt>
                <c:pt idx="86">
                  <c:v>8.6999999999999993</c:v>
                </c:pt>
                <c:pt idx="87">
                  <c:v>8.8000000000000007</c:v>
                </c:pt>
                <c:pt idx="88">
                  <c:v>8.9</c:v>
                </c:pt>
                <c:pt idx="89">
                  <c:v>9</c:v>
                </c:pt>
                <c:pt idx="90">
                  <c:v>9.1</c:v>
                </c:pt>
                <c:pt idx="91">
                  <c:v>9.1999999999999993</c:v>
                </c:pt>
                <c:pt idx="92">
                  <c:v>9.3000000000000007</c:v>
                </c:pt>
                <c:pt idx="93">
                  <c:v>9.4</c:v>
                </c:pt>
                <c:pt idx="94">
                  <c:v>9.5</c:v>
                </c:pt>
                <c:pt idx="95">
                  <c:v>9.6</c:v>
                </c:pt>
                <c:pt idx="96">
                  <c:v>9.6999999999999993</c:v>
                </c:pt>
                <c:pt idx="97">
                  <c:v>9.8000000000000007</c:v>
                </c:pt>
                <c:pt idx="98">
                  <c:v>9.9</c:v>
                </c:pt>
                <c:pt idx="99">
                  <c:v>10</c:v>
                </c:pt>
                <c:pt idx="100">
                  <c:v>10.1</c:v>
                </c:pt>
                <c:pt idx="101">
                  <c:v>10.199999999999999</c:v>
                </c:pt>
                <c:pt idx="102">
                  <c:v>10.3</c:v>
                </c:pt>
                <c:pt idx="103">
                  <c:v>10.4</c:v>
                </c:pt>
                <c:pt idx="104">
                  <c:v>10.5</c:v>
                </c:pt>
                <c:pt idx="105">
                  <c:v>10.6</c:v>
                </c:pt>
                <c:pt idx="106">
                  <c:v>10.7</c:v>
                </c:pt>
                <c:pt idx="107">
                  <c:v>10.8</c:v>
                </c:pt>
                <c:pt idx="108">
                  <c:v>10.9</c:v>
                </c:pt>
                <c:pt idx="109">
                  <c:v>11</c:v>
                </c:pt>
                <c:pt idx="110">
                  <c:v>11.1</c:v>
                </c:pt>
                <c:pt idx="111">
                  <c:v>11.2</c:v>
                </c:pt>
                <c:pt idx="112">
                  <c:v>11.3</c:v>
                </c:pt>
                <c:pt idx="113">
                  <c:v>11.4</c:v>
                </c:pt>
                <c:pt idx="114">
                  <c:v>11.5</c:v>
                </c:pt>
                <c:pt idx="115">
                  <c:v>11.6</c:v>
                </c:pt>
                <c:pt idx="116">
                  <c:v>11.7</c:v>
                </c:pt>
                <c:pt idx="117">
                  <c:v>11.8</c:v>
                </c:pt>
                <c:pt idx="118">
                  <c:v>11.9</c:v>
                </c:pt>
                <c:pt idx="119">
                  <c:v>12</c:v>
                </c:pt>
                <c:pt idx="120">
                  <c:v>12.1</c:v>
                </c:pt>
                <c:pt idx="121">
                  <c:v>12.2</c:v>
                </c:pt>
                <c:pt idx="122">
                  <c:v>12.3</c:v>
                </c:pt>
                <c:pt idx="123">
                  <c:v>12.4</c:v>
                </c:pt>
                <c:pt idx="124">
                  <c:v>12.5</c:v>
                </c:pt>
                <c:pt idx="125">
                  <c:v>12.6</c:v>
                </c:pt>
                <c:pt idx="126">
                  <c:v>12.7</c:v>
                </c:pt>
                <c:pt idx="127">
                  <c:v>12.8</c:v>
                </c:pt>
                <c:pt idx="128">
                  <c:v>12.9</c:v>
                </c:pt>
                <c:pt idx="129">
                  <c:v>13</c:v>
                </c:pt>
                <c:pt idx="130">
                  <c:v>13.1</c:v>
                </c:pt>
                <c:pt idx="131">
                  <c:v>13.2</c:v>
                </c:pt>
                <c:pt idx="132">
                  <c:v>13.3</c:v>
                </c:pt>
                <c:pt idx="133">
                  <c:v>13.4</c:v>
                </c:pt>
                <c:pt idx="134">
                  <c:v>13.5</c:v>
                </c:pt>
                <c:pt idx="135">
                  <c:v>13.6</c:v>
                </c:pt>
                <c:pt idx="136">
                  <c:v>13.7</c:v>
                </c:pt>
                <c:pt idx="137">
                  <c:v>13.8</c:v>
                </c:pt>
                <c:pt idx="138">
                  <c:v>13.9</c:v>
                </c:pt>
                <c:pt idx="139">
                  <c:v>14</c:v>
                </c:pt>
                <c:pt idx="140">
                  <c:v>14.1</c:v>
                </c:pt>
                <c:pt idx="141">
                  <c:v>14.2</c:v>
                </c:pt>
                <c:pt idx="142">
                  <c:v>14.3</c:v>
                </c:pt>
                <c:pt idx="143">
                  <c:v>14.4</c:v>
                </c:pt>
                <c:pt idx="144">
                  <c:v>14.5</c:v>
                </c:pt>
                <c:pt idx="145">
                  <c:v>14.6</c:v>
                </c:pt>
                <c:pt idx="146">
                  <c:v>14.7</c:v>
                </c:pt>
                <c:pt idx="147">
                  <c:v>14.8</c:v>
                </c:pt>
                <c:pt idx="148">
                  <c:v>14.9</c:v>
                </c:pt>
                <c:pt idx="149">
                  <c:v>15</c:v>
                </c:pt>
                <c:pt idx="150">
                  <c:v>15.1</c:v>
                </c:pt>
                <c:pt idx="151">
                  <c:v>15.2</c:v>
                </c:pt>
                <c:pt idx="152">
                  <c:v>15.3</c:v>
                </c:pt>
                <c:pt idx="153">
                  <c:v>15.4</c:v>
                </c:pt>
                <c:pt idx="154">
                  <c:v>15.5</c:v>
                </c:pt>
                <c:pt idx="155">
                  <c:v>15.6</c:v>
                </c:pt>
                <c:pt idx="156">
                  <c:v>15.7</c:v>
                </c:pt>
                <c:pt idx="157">
                  <c:v>15.8</c:v>
                </c:pt>
                <c:pt idx="158">
                  <c:v>15.9</c:v>
                </c:pt>
                <c:pt idx="159">
                  <c:v>16</c:v>
                </c:pt>
                <c:pt idx="160">
                  <c:v>16.100000000000001</c:v>
                </c:pt>
                <c:pt idx="161">
                  <c:v>16.2</c:v>
                </c:pt>
                <c:pt idx="162">
                  <c:v>16.3</c:v>
                </c:pt>
                <c:pt idx="163">
                  <c:v>16.399999999999999</c:v>
                </c:pt>
                <c:pt idx="164">
                  <c:v>16.5</c:v>
                </c:pt>
                <c:pt idx="165">
                  <c:v>16.600000000000001</c:v>
                </c:pt>
                <c:pt idx="166">
                  <c:v>16.7</c:v>
                </c:pt>
                <c:pt idx="167">
                  <c:v>16.8</c:v>
                </c:pt>
                <c:pt idx="168">
                  <c:v>16.899999999999999</c:v>
                </c:pt>
                <c:pt idx="169">
                  <c:v>17</c:v>
                </c:pt>
                <c:pt idx="170">
                  <c:v>17.100000000000001</c:v>
                </c:pt>
                <c:pt idx="171">
                  <c:v>17.2</c:v>
                </c:pt>
                <c:pt idx="172">
                  <c:v>17.3</c:v>
                </c:pt>
                <c:pt idx="173">
                  <c:v>17.399999999999999</c:v>
                </c:pt>
                <c:pt idx="174">
                  <c:v>17.5</c:v>
                </c:pt>
                <c:pt idx="175">
                  <c:v>17.600000000000001</c:v>
                </c:pt>
                <c:pt idx="176">
                  <c:v>17.7</c:v>
                </c:pt>
                <c:pt idx="177">
                  <c:v>17.8</c:v>
                </c:pt>
                <c:pt idx="178">
                  <c:v>17.899999999999999</c:v>
                </c:pt>
                <c:pt idx="179">
                  <c:v>18</c:v>
                </c:pt>
                <c:pt idx="180">
                  <c:v>18.100000000000001</c:v>
                </c:pt>
                <c:pt idx="181">
                  <c:v>18.2</c:v>
                </c:pt>
                <c:pt idx="182">
                  <c:v>18.3</c:v>
                </c:pt>
                <c:pt idx="183">
                  <c:v>18.399999999999999</c:v>
                </c:pt>
                <c:pt idx="184">
                  <c:v>18.5</c:v>
                </c:pt>
                <c:pt idx="185">
                  <c:v>18.600000000000001</c:v>
                </c:pt>
                <c:pt idx="186">
                  <c:v>18.7</c:v>
                </c:pt>
                <c:pt idx="187">
                  <c:v>18.8</c:v>
                </c:pt>
                <c:pt idx="188">
                  <c:v>18.899999999999999</c:v>
                </c:pt>
                <c:pt idx="189">
                  <c:v>19</c:v>
                </c:pt>
                <c:pt idx="190">
                  <c:v>19.100000000000001</c:v>
                </c:pt>
                <c:pt idx="191">
                  <c:v>19.2</c:v>
                </c:pt>
                <c:pt idx="192">
                  <c:v>19.3</c:v>
                </c:pt>
                <c:pt idx="193">
                  <c:v>19.399999999999999</c:v>
                </c:pt>
                <c:pt idx="194">
                  <c:v>19.5</c:v>
                </c:pt>
                <c:pt idx="195">
                  <c:v>19.600000000000001</c:v>
                </c:pt>
                <c:pt idx="196">
                  <c:v>19.7</c:v>
                </c:pt>
                <c:pt idx="197">
                  <c:v>19.8</c:v>
                </c:pt>
                <c:pt idx="198">
                  <c:v>19.899999999999999</c:v>
                </c:pt>
                <c:pt idx="199">
                  <c:v>20</c:v>
                </c:pt>
              </c:numCache>
            </c:numRef>
          </c:xVal>
          <c:yVal>
            <c:numRef>
              <c:f>'Piston Velocity'!$I$21:$I$220</c:f>
              <c:numCache>
                <c:formatCode>General</c:formatCode>
                <c:ptCount val="200"/>
                <c:pt idx="0">
                  <c:v>4.53992851261368E-2</c:v>
                </c:pt>
                <c:pt idx="1">
                  <c:v>4.5479085126136812E-2</c:v>
                </c:pt>
                <c:pt idx="2">
                  <c:v>4.5612085126136799E-2</c:v>
                </c:pt>
                <c:pt idx="3">
                  <c:v>4.5798285126136803E-2</c:v>
                </c:pt>
                <c:pt idx="4">
                  <c:v>4.6037685126136797E-2</c:v>
                </c:pt>
                <c:pt idx="5">
                  <c:v>4.6330285126136808E-2</c:v>
                </c:pt>
                <c:pt idx="6">
                  <c:v>4.6676085126136808E-2</c:v>
                </c:pt>
                <c:pt idx="7">
                  <c:v>4.7075085126136805E-2</c:v>
                </c:pt>
                <c:pt idx="8">
                  <c:v>4.7527285126136805E-2</c:v>
                </c:pt>
                <c:pt idx="9">
                  <c:v>4.8032685126136808E-2</c:v>
                </c:pt>
                <c:pt idx="10">
                  <c:v>4.8591285126136807E-2</c:v>
                </c:pt>
                <c:pt idx="11">
                  <c:v>4.920308512613681E-2</c:v>
                </c:pt>
                <c:pt idx="12">
                  <c:v>4.9868085126136802E-2</c:v>
                </c:pt>
                <c:pt idx="13">
                  <c:v>5.0586285126136804E-2</c:v>
                </c:pt>
                <c:pt idx="14">
                  <c:v>5.1357685126136803E-2</c:v>
                </c:pt>
                <c:pt idx="15">
                  <c:v>5.2182285126136804E-2</c:v>
                </c:pt>
                <c:pt idx="16">
                  <c:v>5.3060085126136809E-2</c:v>
                </c:pt>
                <c:pt idx="17">
                  <c:v>5.3991085126136804E-2</c:v>
                </c:pt>
                <c:pt idx="18">
                  <c:v>5.4975285126136801E-2</c:v>
                </c:pt>
                <c:pt idx="19">
                  <c:v>5.6012685126136802E-2</c:v>
                </c:pt>
                <c:pt idx="20">
                  <c:v>5.7103285126136799E-2</c:v>
                </c:pt>
                <c:pt idx="21">
                  <c:v>5.8247085126136806E-2</c:v>
                </c:pt>
                <c:pt idx="22">
                  <c:v>5.9444085126136803E-2</c:v>
                </c:pt>
                <c:pt idx="23">
                  <c:v>6.069428512613681E-2</c:v>
                </c:pt>
                <c:pt idx="24">
                  <c:v>6.1997685126136799E-2</c:v>
                </c:pt>
                <c:pt idx="25">
                  <c:v>6.3354285126136806E-2</c:v>
                </c:pt>
                <c:pt idx="26">
                  <c:v>6.4764085126136808E-2</c:v>
                </c:pt>
                <c:pt idx="27">
                  <c:v>6.62270851261368E-2</c:v>
                </c:pt>
                <c:pt idx="28">
                  <c:v>6.7743285126136796E-2</c:v>
                </c:pt>
                <c:pt idx="29">
                  <c:v>6.9312685126136808E-2</c:v>
                </c:pt>
                <c:pt idx="30">
                  <c:v>7.093528512613681E-2</c:v>
                </c:pt>
                <c:pt idx="31">
                  <c:v>7.2611085126136815E-2</c:v>
                </c:pt>
                <c:pt idx="32">
                  <c:v>7.4340085126136796E-2</c:v>
                </c:pt>
                <c:pt idx="33">
                  <c:v>7.6122285126136807E-2</c:v>
                </c:pt>
                <c:pt idx="34">
                  <c:v>7.7957685126136808E-2</c:v>
                </c:pt>
                <c:pt idx="35">
                  <c:v>7.9846285126136798E-2</c:v>
                </c:pt>
                <c:pt idx="36">
                  <c:v>8.178808512613682E-2</c:v>
                </c:pt>
                <c:pt idx="37">
                  <c:v>8.3783085126136803E-2</c:v>
                </c:pt>
                <c:pt idx="38">
                  <c:v>8.5831285126136803E-2</c:v>
                </c:pt>
                <c:pt idx="39">
                  <c:v>8.7932685126136806E-2</c:v>
                </c:pt>
                <c:pt idx="40">
                  <c:v>9.0087285126136785E-2</c:v>
                </c:pt>
                <c:pt idx="41">
                  <c:v>9.2295085126136808E-2</c:v>
                </c:pt>
                <c:pt idx="42">
                  <c:v>9.4556085126136794E-2</c:v>
                </c:pt>
                <c:pt idx="43">
                  <c:v>9.6870285126136824E-2</c:v>
                </c:pt>
                <c:pt idx="44">
                  <c:v>9.9237685126136801E-2</c:v>
                </c:pt>
                <c:pt idx="45">
                  <c:v>0.10165828512613678</c:v>
                </c:pt>
                <c:pt idx="46">
                  <c:v>0.10413208512613682</c:v>
                </c:pt>
                <c:pt idx="47">
                  <c:v>0.1066590851261368</c:v>
                </c:pt>
                <c:pt idx="48">
                  <c:v>0.10923928512613681</c:v>
                </c:pt>
                <c:pt idx="49">
                  <c:v>0.11187268512613681</c:v>
                </c:pt>
                <c:pt idx="50">
                  <c:v>0.11455928512613682</c:v>
                </c:pt>
                <c:pt idx="51">
                  <c:v>0.11729908512613681</c:v>
                </c:pt>
                <c:pt idx="52">
                  <c:v>0.12009208512613681</c:v>
                </c:pt>
                <c:pt idx="53">
                  <c:v>0.12293828512613683</c:v>
                </c:pt>
                <c:pt idx="54">
                  <c:v>0.1258376851261368</c:v>
                </c:pt>
                <c:pt idx="55">
                  <c:v>0.1287902851261368</c:v>
                </c:pt>
                <c:pt idx="56">
                  <c:v>0.1317960851261368</c:v>
                </c:pt>
                <c:pt idx="57">
                  <c:v>0.13485508512613681</c:v>
                </c:pt>
                <c:pt idx="58">
                  <c:v>0.13796728512613682</c:v>
                </c:pt>
                <c:pt idx="59">
                  <c:v>0.1411326851261368</c:v>
                </c:pt>
                <c:pt idx="60">
                  <c:v>0.14435128512613679</c:v>
                </c:pt>
                <c:pt idx="61">
                  <c:v>0.14762308512613681</c:v>
                </c:pt>
                <c:pt idx="62">
                  <c:v>0.15094808512613681</c:v>
                </c:pt>
                <c:pt idx="63">
                  <c:v>0.15432628512613683</c:v>
                </c:pt>
                <c:pt idx="64">
                  <c:v>0.1577576851261368</c:v>
                </c:pt>
                <c:pt idx="65">
                  <c:v>0.16124228512613681</c:v>
                </c:pt>
                <c:pt idx="66">
                  <c:v>0.16478008512613682</c:v>
                </c:pt>
                <c:pt idx="67">
                  <c:v>0.16837108512613683</c:v>
                </c:pt>
                <c:pt idx="68">
                  <c:v>0.17201528512613684</c:v>
                </c:pt>
                <c:pt idx="69">
                  <c:v>0.1757126851261368</c:v>
                </c:pt>
                <c:pt idx="70">
                  <c:v>0.17946328512613682</c:v>
                </c:pt>
                <c:pt idx="71">
                  <c:v>0.18326708512613682</c:v>
                </c:pt>
                <c:pt idx="72">
                  <c:v>0.18712408512613682</c:v>
                </c:pt>
                <c:pt idx="73">
                  <c:v>0.19103428512613682</c:v>
                </c:pt>
                <c:pt idx="74">
                  <c:v>0.1949976851261368</c:v>
                </c:pt>
                <c:pt idx="75">
                  <c:v>0.19901428512613681</c:v>
                </c:pt>
                <c:pt idx="76">
                  <c:v>0.20308408512613682</c:v>
                </c:pt>
                <c:pt idx="77">
                  <c:v>0.20720708512613684</c:v>
                </c:pt>
                <c:pt idx="78">
                  <c:v>0.21138328512613683</c:v>
                </c:pt>
                <c:pt idx="79">
                  <c:v>0.21561268512613679</c:v>
                </c:pt>
                <c:pt idx="80">
                  <c:v>0.21989528512613682</c:v>
                </c:pt>
                <c:pt idx="81">
                  <c:v>0.22423108512613679</c:v>
                </c:pt>
                <c:pt idx="82">
                  <c:v>0.22862008512613685</c:v>
                </c:pt>
                <c:pt idx="83">
                  <c:v>0.23306228512613678</c:v>
                </c:pt>
                <c:pt idx="84">
                  <c:v>0.23755768512613684</c:v>
                </c:pt>
                <c:pt idx="85">
                  <c:v>0.2421062851261368</c:v>
                </c:pt>
                <c:pt idx="86">
                  <c:v>0.24670808512613676</c:v>
                </c:pt>
                <c:pt idx="87">
                  <c:v>0.25136308512613686</c:v>
                </c:pt>
                <c:pt idx="88">
                  <c:v>0.25607128512613686</c:v>
                </c:pt>
                <c:pt idx="89">
                  <c:v>0.26083268512613678</c:v>
                </c:pt>
                <c:pt idx="90">
                  <c:v>0.26564728512613678</c:v>
                </c:pt>
                <c:pt idx="91">
                  <c:v>0.27051508512613681</c:v>
                </c:pt>
                <c:pt idx="92">
                  <c:v>0.27543608512613688</c:v>
                </c:pt>
                <c:pt idx="93">
                  <c:v>0.28041028512613686</c:v>
                </c:pt>
                <c:pt idx="94">
                  <c:v>0.28543768512613682</c:v>
                </c:pt>
                <c:pt idx="95">
                  <c:v>0.29051828512613681</c:v>
                </c:pt>
                <c:pt idx="96">
                  <c:v>0.29565208512613678</c:v>
                </c:pt>
                <c:pt idx="97">
                  <c:v>0.30083908512613688</c:v>
                </c:pt>
                <c:pt idx="98">
                  <c:v>0.3060792851261368</c:v>
                </c:pt>
                <c:pt idx="99">
                  <c:v>0.31137268512613681</c:v>
                </c:pt>
                <c:pt idx="100">
                  <c:v>0.31671928512613684</c:v>
                </c:pt>
                <c:pt idx="101">
                  <c:v>0.32211908512613685</c:v>
                </c:pt>
                <c:pt idx="102">
                  <c:v>0.32757208512613689</c:v>
                </c:pt>
                <c:pt idx="103">
                  <c:v>0.3330782851261368</c:v>
                </c:pt>
                <c:pt idx="104">
                  <c:v>0.33863768512613679</c:v>
                </c:pt>
                <c:pt idx="105">
                  <c:v>0.34425028512613681</c:v>
                </c:pt>
                <c:pt idx="106">
                  <c:v>0.34991608512613676</c:v>
                </c:pt>
                <c:pt idx="107">
                  <c:v>0.3556350851261369</c:v>
                </c:pt>
                <c:pt idx="108">
                  <c:v>0.36140728512613685</c:v>
                </c:pt>
                <c:pt idx="109">
                  <c:v>0.36723268512613677</c:v>
                </c:pt>
                <c:pt idx="110">
                  <c:v>0.37311128512613678</c:v>
                </c:pt>
                <c:pt idx="111">
                  <c:v>0.37904308512613677</c:v>
                </c:pt>
                <c:pt idx="112">
                  <c:v>0.38502808512613684</c:v>
                </c:pt>
                <c:pt idx="113">
                  <c:v>0.39106628512613684</c:v>
                </c:pt>
                <c:pt idx="114">
                  <c:v>0.39715768512613681</c:v>
                </c:pt>
                <c:pt idx="115">
                  <c:v>0.40330228512613681</c:v>
                </c:pt>
                <c:pt idx="116">
                  <c:v>0.40950008512613678</c:v>
                </c:pt>
                <c:pt idx="117">
                  <c:v>0.41575108512613679</c:v>
                </c:pt>
                <c:pt idx="118">
                  <c:v>0.42205528512613683</c:v>
                </c:pt>
                <c:pt idx="119">
                  <c:v>0.42841268512613678</c:v>
                </c:pt>
                <c:pt idx="120">
                  <c:v>0.43482328512613677</c:v>
                </c:pt>
                <c:pt idx="121">
                  <c:v>0.44128708512613679</c:v>
                </c:pt>
                <c:pt idx="122">
                  <c:v>0.4478040851261369</c:v>
                </c:pt>
                <c:pt idx="123">
                  <c:v>0.45437428512613687</c:v>
                </c:pt>
                <c:pt idx="124">
                  <c:v>0.46099768512613681</c:v>
                </c:pt>
                <c:pt idx="125">
                  <c:v>0.46767428512613679</c:v>
                </c:pt>
                <c:pt idx="126">
                  <c:v>0.4744040851261368</c:v>
                </c:pt>
                <c:pt idx="127">
                  <c:v>0.48118708512613684</c:v>
                </c:pt>
                <c:pt idx="128">
                  <c:v>0.4880232851261368</c:v>
                </c:pt>
                <c:pt idx="129">
                  <c:v>0.49491268512613679</c:v>
                </c:pt>
                <c:pt idx="130">
                  <c:v>0.50185528512613675</c:v>
                </c:pt>
                <c:pt idx="131">
                  <c:v>0.50885108512613675</c:v>
                </c:pt>
                <c:pt idx="132">
                  <c:v>0.51590008512613683</c:v>
                </c:pt>
                <c:pt idx="133">
                  <c:v>0.52300228512613678</c:v>
                </c:pt>
                <c:pt idx="134">
                  <c:v>0.53015768512613681</c:v>
                </c:pt>
                <c:pt idx="135">
                  <c:v>0.53736628512613682</c:v>
                </c:pt>
                <c:pt idx="136">
                  <c:v>0.54462808512613681</c:v>
                </c:pt>
                <c:pt idx="137">
                  <c:v>0.55194308512613688</c:v>
                </c:pt>
                <c:pt idx="138">
                  <c:v>0.55931128512613681</c:v>
                </c:pt>
                <c:pt idx="139">
                  <c:v>0.56673268512613684</c:v>
                </c:pt>
                <c:pt idx="140">
                  <c:v>0.57420728512613683</c:v>
                </c:pt>
                <c:pt idx="141">
                  <c:v>0.58173508512613681</c:v>
                </c:pt>
                <c:pt idx="142">
                  <c:v>0.58931608512613687</c:v>
                </c:pt>
                <c:pt idx="143">
                  <c:v>0.59695028512613679</c:v>
                </c:pt>
                <c:pt idx="144">
                  <c:v>0.6046376851261368</c:v>
                </c:pt>
                <c:pt idx="145">
                  <c:v>0.61237828512613679</c:v>
                </c:pt>
                <c:pt idx="146">
                  <c:v>0.62017208512613675</c:v>
                </c:pt>
                <c:pt idx="147">
                  <c:v>0.62801908512613691</c:v>
                </c:pt>
                <c:pt idx="148">
                  <c:v>0.63591928512613682</c:v>
                </c:pt>
                <c:pt idx="149">
                  <c:v>0.64387268512613682</c:v>
                </c:pt>
                <c:pt idx="150">
                  <c:v>0.6518792851261368</c:v>
                </c:pt>
                <c:pt idx="151">
                  <c:v>0.65993908512613686</c:v>
                </c:pt>
                <c:pt idx="152">
                  <c:v>0.6680520851261369</c:v>
                </c:pt>
                <c:pt idx="153">
                  <c:v>0.67621828512613691</c:v>
                </c:pt>
                <c:pt idx="154">
                  <c:v>0.6844376851261369</c:v>
                </c:pt>
                <c:pt idx="155">
                  <c:v>0.69271028512613686</c:v>
                </c:pt>
                <c:pt idx="156">
                  <c:v>0.7010360851261368</c:v>
                </c:pt>
                <c:pt idx="157">
                  <c:v>0.70941508512613682</c:v>
                </c:pt>
                <c:pt idx="158">
                  <c:v>0.71784728512613682</c:v>
                </c:pt>
                <c:pt idx="159">
                  <c:v>0.7263326851261368</c:v>
                </c:pt>
                <c:pt idx="160">
                  <c:v>0.73487128512613697</c:v>
                </c:pt>
                <c:pt idx="161">
                  <c:v>0.7434630851261369</c:v>
                </c:pt>
                <c:pt idx="162">
                  <c:v>0.7521080851261368</c:v>
                </c:pt>
                <c:pt idx="163">
                  <c:v>0.76080628512613668</c:v>
                </c:pt>
                <c:pt idx="164">
                  <c:v>0.76955768512613687</c:v>
                </c:pt>
                <c:pt idx="165">
                  <c:v>0.77836228512613703</c:v>
                </c:pt>
                <c:pt idx="166">
                  <c:v>0.78722008512613684</c:v>
                </c:pt>
                <c:pt idx="167">
                  <c:v>0.79613108512613673</c:v>
                </c:pt>
                <c:pt idx="168">
                  <c:v>0.80509528512613671</c:v>
                </c:pt>
                <c:pt idx="169">
                  <c:v>0.81411268512613688</c:v>
                </c:pt>
                <c:pt idx="170">
                  <c:v>0.82318328512613692</c:v>
                </c:pt>
                <c:pt idx="171">
                  <c:v>0.83230708512613671</c:v>
                </c:pt>
                <c:pt idx="172">
                  <c:v>0.84148408512613682</c:v>
                </c:pt>
                <c:pt idx="173">
                  <c:v>0.85071428512613667</c:v>
                </c:pt>
                <c:pt idx="174">
                  <c:v>0.85999768512613683</c:v>
                </c:pt>
                <c:pt idx="175">
                  <c:v>0.86933428512613697</c:v>
                </c:pt>
                <c:pt idx="176">
                  <c:v>0.87872408512613676</c:v>
                </c:pt>
                <c:pt idx="177">
                  <c:v>0.88816708512613685</c:v>
                </c:pt>
                <c:pt idx="178">
                  <c:v>0.89766328512613669</c:v>
                </c:pt>
                <c:pt idx="179">
                  <c:v>0.90721268512613673</c:v>
                </c:pt>
                <c:pt idx="180">
                  <c:v>0.91681528512613697</c:v>
                </c:pt>
                <c:pt idx="181">
                  <c:v>0.92647108512613674</c:v>
                </c:pt>
                <c:pt idx="182">
                  <c:v>0.93618008512613704</c:v>
                </c:pt>
                <c:pt idx="183">
                  <c:v>0.94594228512613665</c:v>
                </c:pt>
                <c:pt idx="184">
                  <c:v>0.95575768512613679</c:v>
                </c:pt>
                <c:pt idx="185">
                  <c:v>0.96562628512613702</c:v>
                </c:pt>
                <c:pt idx="186">
                  <c:v>0.97554808512613689</c:v>
                </c:pt>
                <c:pt idx="187">
                  <c:v>0.98552308512613696</c:v>
                </c:pt>
                <c:pt idx="188">
                  <c:v>0.99555128512613666</c:v>
                </c:pt>
                <c:pt idx="189">
                  <c:v>1.0056326851261368</c:v>
                </c:pt>
                <c:pt idx="190">
                  <c:v>1.015767285126137</c:v>
                </c:pt>
                <c:pt idx="191">
                  <c:v>1.0259550851261368</c:v>
                </c:pt>
                <c:pt idx="192">
                  <c:v>1.0361960851261367</c:v>
                </c:pt>
                <c:pt idx="193">
                  <c:v>1.0464902851261366</c:v>
                </c:pt>
                <c:pt idx="194">
                  <c:v>1.0568376851261367</c:v>
                </c:pt>
                <c:pt idx="195">
                  <c:v>1.0672382851261371</c:v>
                </c:pt>
                <c:pt idx="196">
                  <c:v>1.0776920851261367</c:v>
                </c:pt>
                <c:pt idx="197">
                  <c:v>1.0881990851261369</c:v>
                </c:pt>
                <c:pt idx="198">
                  <c:v>1.0987592851261367</c:v>
                </c:pt>
                <c:pt idx="199">
                  <c:v>1.1093726851261367</c:v>
                </c:pt>
              </c:numCache>
            </c:numRef>
          </c:yVal>
          <c:smooth val="0"/>
          <c:extLst>
            <c:ext xmlns:c16="http://schemas.microsoft.com/office/drawing/2014/chart" uri="{C3380CC4-5D6E-409C-BE32-E72D297353CC}">
              <c16:uniqueId val="{00000007-CED8-8548-8BDB-E89EDCAA6827}"/>
            </c:ext>
          </c:extLst>
        </c:ser>
        <c:dLbls>
          <c:showLegendKey val="0"/>
          <c:showVal val="0"/>
          <c:showCatName val="0"/>
          <c:showSerName val="0"/>
          <c:showPercent val="0"/>
          <c:showBubbleSize val="0"/>
        </c:dLbls>
        <c:axId val="114185520"/>
        <c:axId val="111436528"/>
      </c:scatterChart>
      <c:valAx>
        <c:axId val="114185520"/>
        <c:scaling>
          <c:orientation val="minMax"/>
          <c:max val="8"/>
        </c:scaling>
        <c:delete val="0"/>
        <c:axPos val="b"/>
        <c:title>
          <c:tx>
            <c:rich>
              <a:bodyPr rot="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a:t>Wind Speed (m/s)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cross"/>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11436528"/>
        <c:crosses val="autoZero"/>
        <c:crossBetween val="midCat"/>
      </c:valAx>
      <c:valAx>
        <c:axId val="111436528"/>
        <c:scaling>
          <c:orientation val="minMax"/>
          <c:max val="0.60000000000000009"/>
        </c:scaling>
        <c:delete val="0"/>
        <c:axPos val="l"/>
        <c:title>
          <c:tx>
            <c:rich>
              <a:bodyPr rot="-540000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a:t>Piston</a:t>
                </a:r>
                <a:r>
                  <a:rPr lang="en-US" baseline="0"/>
                  <a:t> Velocity (k600, m/hr)</a:t>
                </a:r>
                <a:endParaRPr lang="en-US"/>
              </a:p>
            </c:rich>
          </c:tx>
          <c:overlay val="0"/>
          <c:spPr>
            <a:noFill/>
            <a:ln>
              <a:noFill/>
            </a:ln>
            <a:effectLst/>
          </c:spPr>
          <c:txPr>
            <a:bodyPr rot="-540000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14185520"/>
        <c:crosses val="autoZero"/>
        <c:crossBetween val="midCat"/>
      </c:valAx>
      <c:spPr>
        <a:noFill/>
        <a:ln>
          <a:solidFill>
            <a:schemeClr val="tx1"/>
          </a:solidFill>
        </a:ln>
        <a:effectLst/>
      </c:spPr>
    </c:plotArea>
    <c:legend>
      <c:legendPos val="t"/>
      <c:layout>
        <c:manualLayout>
          <c:xMode val="edge"/>
          <c:yMode val="edge"/>
          <c:x val="0.14137678623505393"/>
          <c:y val="0.1464407560259379"/>
          <c:w val="0.30798716827063283"/>
          <c:h val="0.2777997026723798"/>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scatterChart>
        <c:scatterStyle val="lineMarker"/>
        <c:varyColors val="0"/>
        <c:ser>
          <c:idx val="1"/>
          <c:order val="0"/>
          <c:tx>
            <c:v>UW CTD</c:v>
          </c:tx>
          <c:spPr>
            <a:ln w="47625">
              <a:noFill/>
            </a:ln>
            <a:effectLst/>
          </c:spPr>
          <c:marker>
            <c:spPr>
              <a:noFill/>
              <a:effectLst/>
            </c:spPr>
          </c:marker>
          <c:xVal>
            <c:numRef>
              <c:f>'[1]Compare with UW CTD'!$B$7:$B$298</c:f>
              <c:numCache>
                <c:formatCode>General</c:formatCode>
                <c:ptCount val="292"/>
                <c:pt idx="0">
                  <c:v>318.868067</c:v>
                </c:pt>
                <c:pt idx="1">
                  <c:v>318.87557900000002</c:v>
                </c:pt>
                <c:pt idx="2">
                  <c:v>318.88252299999999</c:v>
                </c:pt>
                <c:pt idx="3">
                  <c:v>318.88946800000002</c:v>
                </c:pt>
                <c:pt idx="4">
                  <c:v>318.896412</c:v>
                </c:pt>
                <c:pt idx="5">
                  <c:v>318.903345</c:v>
                </c:pt>
                <c:pt idx="6">
                  <c:v>318.91028899999998</c:v>
                </c:pt>
                <c:pt idx="7">
                  <c:v>318.91723400000001</c:v>
                </c:pt>
                <c:pt idx="8">
                  <c:v>318.92417799999998</c:v>
                </c:pt>
                <c:pt idx="9">
                  <c:v>318.93112300000001</c:v>
                </c:pt>
                <c:pt idx="10">
                  <c:v>318.93806699999999</c:v>
                </c:pt>
                <c:pt idx="11">
                  <c:v>318.94501200000002</c:v>
                </c:pt>
                <c:pt idx="12">
                  <c:v>318.951956</c:v>
                </c:pt>
                <c:pt idx="13">
                  <c:v>318.95890000000003</c:v>
                </c:pt>
                <c:pt idx="14">
                  <c:v>318.965845</c:v>
                </c:pt>
                <c:pt idx="15">
                  <c:v>318.97278899999998</c:v>
                </c:pt>
                <c:pt idx="16">
                  <c:v>318.97973400000001</c:v>
                </c:pt>
                <c:pt idx="17">
                  <c:v>318.98667799999998</c:v>
                </c:pt>
                <c:pt idx="18">
                  <c:v>318.99362300000001</c:v>
                </c:pt>
                <c:pt idx="19">
                  <c:v>319.00056699999999</c:v>
                </c:pt>
                <c:pt idx="20">
                  <c:v>319.00751200000002</c:v>
                </c:pt>
                <c:pt idx="21">
                  <c:v>319.014456</c:v>
                </c:pt>
                <c:pt idx="22">
                  <c:v>319.02140000000003</c:v>
                </c:pt>
                <c:pt idx="23">
                  <c:v>319.028345</c:v>
                </c:pt>
                <c:pt idx="24">
                  <c:v>319.03528899999998</c:v>
                </c:pt>
                <c:pt idx="25">
                  <c:v>319.04223400000001</c:v>
                </c:pt>
                <c:pt idx="26">
                  <c:v>319.04917799999998</c:v>
                </c:pt>
                <c:pt idx="27">
                  <c:v>319.05612300000001</c:v>
                </c:pt>
                <c:pt idx="28">
                  <c:v>319.06306699999999</c:v>
                </c:pt>
                <c:pt idx="29">
                  <c:v>319.07001200000002</c:v>
                </c:pt>
                <c:pt idx="30">
                  <c:v>319.076956</c:v>
                </c:pt>
                <c:pt idx="31">
                  <c:v>319.083912</c:v>
                </c:pt>
                <c:pt idx="32">
                  <c:v>319.09085599999997</c:v>
                </c:pt>
                <c:pt idx="33">
                  <c:v>319.097801</c:v>
                </c:pt>
                <c:pt idx="34">
                  <c:v>319.10474499999998</c:v>
                </c:pt>
                <c:pt idx="35">
                  <c:v>319.11169000000001</c:v>
                </c:pt>
                <c:pt idx="36">
                  <c:v>319.11863399999999</c:v>
                </c:pt>
                <c:pt idx="37">
                  <c:v>319.12557900000002</c:v>
                </c:pt>
                <c:pt idx="38">
                  <c:v>319.13252299999999</c:v>
                </c:pt>
                <c:pt idx="39">
                  <c:v>319.13946800000002</c:v>
                </c:pt>
                <c:pt idx="40">
                  <c:v>319.146412</c:v>
                </c:pt>
                <c:pt idx="41">
                  <c:v>319.153345</c:v>
                </c:pt>
                <c:pt idx="42">
                  <c:v>319.16028899999998</c:v>
                </c:pt>
                <c:pt idx="43">
                  <c:v>319.16723400000001</c:v>
                </c:pt>
                <c:pt idx="44">
                  <c:v>319.17417799999998</c:v>
                </c:pt>
                <c:pt idx="45">
                  <c:v>319.18112300000001</c:v>
                </c:pt>
                <c:pt idx="46">
                  <c:v>319.18806699999999</c:v>
                </c:pt>
                <c:pt idx="47">
                  <c:v>319.19501200000002</c:v>
                </c:pt>
                <c:pt idx="48">
                  <c:v>319.201956</c:v>
                </c:pt>
                <c:pt idx="49">
                  <c:v>319.20890000000003</c:v>
                </c:pt>
                <c:pt idx="50">
                  <c:v>319.215845</c:v>
                </c:pt>
                <c:pt idx="51">
                  <c:v>319.22278899999998</c:v>
                </c:pt>
                <c:pt idx="52">
                  <c:v>319.22973400000001</c:v>
                </c:pt>
                <c:pt idx="53">
                  <c:v>319.23667799999998</c:v>
                </c:pt>
                <c:pt idx="54">
                  <c:v>319.24362300000001</c:v>
                </c:pt>
                <c:pt idx="55">
                  <c:v>319.25056699999999</c:v>
                </c:pt>
                <c:pt idx="56">
                  <c:v>319.25751200000002</c:v>
                </c:pt>
                <c:pt idx="57">
                  <c:v>319.264456</c:v>
                </c:pt>
                <c:pt idx="58">
                  <c:v>319.27140000000003</c:v>
                </c:pt>
                <c:pt idx="59">
                  <c:v>319.278345</c:v>
                </c:pt>
                <c:pt idx="60">
                  <c:v>319.28528899999998</c:v>
                </c:pt>
                <c:pt idx="61">
                  <c:v>319.29223400000001</c:v>
                </c:pt>
                <c:pt idx="62">
                  <c:v>319.29917799999998</c:v>
                </c:pt>
                <c:pt idx="63">
                  <c:v>319.30612300000001</c:v>
                </c:pt>
                <c:pt idx="64">
                  <c:v>319.31306699999999</c:v>
                </c:pt>
                <c:pt idx="65">
                  <c:v>319.32001200000002</c:v>
                </c:pt>
                <c:pt idx="66">
                  <c:v>319.326956</c:v>
                </c:pt>
                <c:pt idx="67">
                  <c:v>319.33390000000003</c:v>
                </c:pt>
                <c:pt idx="68">
                  <c:v>319.34085599999997</c:v>
                </c:pt>
                <c:pt idx="69">
                  <c:v>319.347801</c:v>
                </c:pt>
                <c:pt idx="70">
                  <c:v>319.35474499999998</c:v>
                </c:pt>
                <c:pt idx="71">
                  <c:v>319.36169000000001</c:v>
                </c:pt>
                <c:pt idx="72">
                  <c:v>319.36863399999999</c:v>
                </c:pt>
                <c:pt idx="73">
                  <c:v>319.37557900000002</c:v>
                </c:pt>
                <c:pt idx="74">
                  <c:v>319.38252299999999</c:v>
                </c:pt>
                <c:pt idx="75">
                  <c:v>319.38946800000002</c:v>
                </c:pt>
                <c:pt idx="76">
                  <c:v>319.396412</c:v>
                </c:pt>
                <c:pt idx="77">
                  <c:v>319.40335599999997</c:v>
                </c:pt>
                <c:pt idx="78">
                  <c:v>319.41028899999998</c:v>
                </c:pt>
                <c:pt idx="79">
                  <c:v>319.41723400000001</c:v>
                </c:pt>
                <c:pt idx="80">
                  <c:v>319.42417799999998</c:v>
                </c:pt>
                <c:pt idx="81">
                  <c:v>319.43112300000001</c:v>
                </c:pt>
                <c:pt idx="82">
                  <c:v>319.43806699999999</c:v>
                </c:pt>
                <c:pt idx="83">
                  <c:v>319.44501200000002</c:v>
                </c:pt>
                <c:pt idx="84">
                  <c:v>319.451956</c:v>
                </c:pt>
                <c:pt idx="85">
                  <c:v>319.45890000000003</c:v>
                </c:pt>
                <c:pt idx="86">
                  <c:v>319.465845</c:v>
                </c:pt>
                <c:pt idx="87">
                  <c:v>319.47278899999998</c:v>
                </c:pt>
                <c:pt idx="88">
                  <c:v>319.47973400000001</c:v>
                </c:pt>
                <c:pt idx="89">
                  <c:v>319.48667799999998</c:v>
                </c:pt>
                <c:pt idx="90">
                  <c:v>319.49362300000001</c:v>
                </c:pt>
                <c:pt idx="91">
                  <c:v>319.50056699999999</c:v>
                </c:pt>
                <c:pt idx="92">
                  <c:v>319.50751200000002</c:v>
                </c:pt>
                <c:pt idx="93">
                  <c:v>319.514456</c:v>
                </c:pt>
                <c:pt idx="94">
                  <c:v>319.52140000000003</c:v>
                </c:pt>
                <c:pt idx="95">
                  <c:v>319.528345</c:v>
                </c:pt>
                <c:pt idx="96">
                  <c:v>319.53528899999998</c:v>
                </c:pt>
                <c:pt idx="97">
                  <c:v>319.54223400000001</c:v>
                </c:pt>
                <c:pt idx="98">
                  <c:v>319.54917799999998</c:v>
                </c:pt>
                <c:pt idx="99">
                  <c:v>319.55612300000001</c:v>
                </c:pt>
                <c:pt idx="100">
                  <c:v>319.56306699999999</c:v>
                </c:pt>
                <c:pt idx="101">
                  <c:v>319.57001200000002</c:v>
                </c:pt>
                <c:pt idx="102">
                  <c:v>319.576956</c:v>
                </c:pt>
                <c:pt idx="103">
                  <c:v>319.58390000000003</c:v>
                </c:pt>
                <c:pt idx="104">
                  <c:v>319.590845</c:v>
                </c:pt>
                <c:pt idx="105">
                  <c:v>319.597801</c:v>
                </c:pt>
                <c:pt idx="106">
                  <c:v>319.60474499999998</c:v>
                </c:pt>
                <c:pt idx="107">
                  <c:v>319.61169000000001</c:v>
                </c:pt>
                <c:pt idx="108">
                  <c:v>319.61863399999999</c:v>
                </c:pt>
                <c:pt idx="109">
                  <c:v>319.62557900000002</c:v>
                </c:pt>
                <c:pt idx="110">
                  <c:v>319.63252299999999</c:v>
                </c:pt>
                <c:pt idx="111">
                  <c:v>319.63946800000002</c:v>
                </c:pt>
                <c:pt idx="112">
                  <c:v>319.646412</c:v>
                </c:pt>
                <c:pt idx="113">
                  <c:v>319.65335599999997</c:v>
                </c:pt>
                <c:pt idx="114">
                  <c:v>319.660301</c:v>
                </c:pt>
                <c:pt idx="115">
                  <c:v>319.66724499999998</c:v>
                </c:pt>
                <c:pt idx="116">
                  <c:v>319.67417799999998</c:v>
                </c:pt>
                <c:pt idx="117">
                  <c:v>319.68112300000001</c:v>
                </c:pt>
                <c:pt idx="118">
                  <c:v>319.68806699999999</c:v>
                </c:pt>
                <c:pt idx="119">
                  <c:v>319.69501200000002</c:v>
                </c:pt>
                <c:pt idx="120">
                  <c:v>319.701956</c:v>
                </c:pt>
                <c:pt idx="121">
                  <c:v>319.70890000000003</c:v>
                </c:pt>
                <c:pt idx="122">
                  <c:v>319.715845</c:v>
                </c:pt>
                <c:pt idx="123">
                  <c:v>319.72278899999998</c:v>
                </c:pt>
                <c:pt idx="124">
                  <c:v>319.72973400000001</c:v>
                </c:pt>
                <c:pt idx="125">
                  <c:v>319.73667799999998</c:v>
                </c:pt>
                <c:pt idx="126">
                  <c:v>319.74362300000001</c:v>
                </c:pt>
                <c:pt idx="127">
                  <c:v>319.75056699999999</c:v>
                </c:pt>
                <c:pt idx="128">
                  <c:v>319.75751200000002</c:v>
                </c:pt>
                <c:pt idx="129">
                  <c:v>319.764456</c:v>
                </c:pt>
                <c:pt idx="130">
                  <c:v>319.77140000000003</c:v>
                </c:pt>
                <c:pt idx="131">
                  <c:v>319.778345</c:v>
                </c:pt>
                <c:pt idx="132">
                  <c:v>319.78528899999998</c:v>
                </c:pt>
                <c:pt idx="133">
                  <c:v>319.79223400000001</c:v>
                </c:pt>
                <c:pt idx="134">
                  <c:v>319.79917799999998</c:v>
                </c:pt>
                <c:pt idx="135">
                  <c:v>319.80612300000001</c:v>
                </c:pt>
                <c:pt idx="136">
                  <c:v>319.81306699999999</c:v>
                </c:pt>
                <c:pt idx="137">
                  <c:v>319.82001200000002</c:v>
                </c:pt>
                <c:pt idx="138">
                  <c:v>319.826956</c:v>
                </c:pt>
                <c:pt idx="139">
                  <c:v>319.83390000000003</c:v>
                </c:pt>
                <c:pt idx="140">
                  <c:v>319.840845</c:v>
                </c:pt>
                <c:pt idx="141">
                  <c:v>319.84778899999998</c:v>
                </c:pt>
                <c:pt idx="142">
                  <c:v>319.85474499999998</c:v>
                </c:pt>
                <c:pt idx="143">
                  <c:v>319.86169000000001</c:v>
                </c:pt>
                <c:pt idx="144">
                  <c:v>319.86863399999999</c:v>
                </c:pt>
                <c:pt idx="145">
                  <c:v>319.87557900000002</c:v>
                </c:pt>
                <c:pt idx="146">
                  <c:v>319.88252299999999</c:v>
                </c:pt>
                <c:pt idx="147">
                  <c:v>319.88946800000002</c:v>
                </c:pt>
                <c:pt idx="148">
                  <c:v>319.896412</c:v>
                </c:pt>
                <c:pt idx="149">
                  <c:v>319.90335599999997</c:v>
                </c:pt>
                <c:pt idx="150">
                  <c:v>319.910301</c:v>
                </c:pt>
                <c:pt idx="151">
                  <c:v>319.91724499999998</c:v>
                </c:pt>
                <c:pt idx="152">
                  <c:v>319.92417799999998</c:v>
                </c:pt>
                <c:pt idx="153">
                  <c:v>319.93112300000001</c:v>
                </c:pt>
                <c:pt idx="154">
                  <c:v>319.93806699999999</c:v>
                </c:pt>
                <c:pt idx="155">
                  <c:v>319.94501200000002</c:v>
                </c:pt>
                <c:pt idx="156">
                  <c:v>319.951956</c:v>
                </c:pt>
                <c:pt idx="157">
                  <c:v>319.95890000000003</c:v>
                </c:pt>
                <c:pt idx="158">
                  <c:v>319.965845</c:v>
                </c:pt>
                <c:pt idx="159">
                  <c:v>319.97278899999998</c:v>
                </c:pt>
                <c:pt idx="160">
                  <c:v>319.97973400000001</c:v>
                </c:pt>
                <c:pt idx="161">
                  <c:v>319.98667799999998</c:v>
                </c:pt>
                <c:pt idx="162">
                  <c:v>319.99362300000001</c:v>
                </c:pt>
                <c:pt idx="163">
                  <c:v>320.00056699999999</c:v>
                </c:pt>
                <c:pt idx="164">
                  <c:v>320.00751200000002</c:v>
                </c:pt>
                <c:pt idx="165">
                  <c:v>320.014456</c:v>
                </c:pt>
                <c:pt idx="166">
                  <c:v>320.02140000000003</c:v>
                </c:pt>
                <c:pt idx="167">
                  <c:v>320.028345</c:v>
                </c:pt>
                <c:pt idx="168">
                  <c:v>320.03528899999998</c:v>
                </c:pt>
                <c:pt idx="169">
                  <c:v>320.04223400000001</c:v>
                </c:pt>
                <c:pt idx="170">
                  <c:v>320.04917799999998</c:v>
                </c:pt>
                <c:pt idx="171">
                  <c:v>320.05612300000001</c:v>
                </c:pt>
                <c:pt idx="172">
                  <c:v>320.06306699999999</c:v>
                </c:pt>
                <c:pt idx="173">
                  <c:v>320.07001200000002</c:v>
                </c:pt>
                <c:pt idx="174">
                  <c:v>320.076956</c:v>
                </c:pt>
                <c:pt idx="175">
                  <c:v>320.08390000000003</c:v>
                </c:pt>
                <c:pt idx="176">
                  <c:v>320.090845</c:v>
                </c:pt>
                <c:pt idx="177">
                  <c:v>320.09778899999998</c:v>
                </c:pt>
                <c:pt idx="178">
                  <c:v>320.10473400000001</c:v>
                </c:pt>
                <c:pt idx="179">
                  <c:v>320.11169000000001</c:v>
                </c:pt>
                <c:pt idx="180">
                  <c:v>320.11863399999999</c:v>
                </c:pt>
                <c:pt idx="181">
                  <c:v>320.12557900000002</c:v>
                </c:pt>
                <c:pt idx="182">
                  <c:v>320.13252299999999</c:v>
                </c:pt>
                <c:pt idx="183">
                  <c:v>320.13946800000002</c:v>
                </c:pt>
                <c:pt idx="184">
                  <c:v>320.146412</c:v>
                </c:pt>
                <c:pt idx="185">
                  <c:v>320.15335599999997</c:v>
                </c:pt>
                <c:pt idx="186">
                  <c:v>320.160301</c:v>
                </c:pt>
                <c:pt idx="187">
                  <c:v>320.16724499999998</c:v>
                </c:pt>
                <c:pt idx="188">
                  <c:v>320.17419000000001</c:v>
                </c:pt>
                <c:pt idx="189">
                  <c:v>320.18112300000001</c:v>
                </c:pt>
                <c:pt idx="190">
                  <c:v>320.18806699999999</c:v>
                </c:pt>
                <c:pt idx="191">
                  <c:v>320.19501200000002</c:v>
                </c:pt>
                <c:pt idx="192">
                  <c:v>320.201956</c:v>
                </c:pt>
                <c:pt idx="193">
                  <c:v>320.20890000000003</c:v>
                </c:pt>
                <c:pt idx="194">
                  <c:v>320.215845</c:v>
                </c:pt>
                <c:pt idx="195">
                  <c:v>320.22278899999998</c:v>
                </c:pt>
                <c:pt idx="196">
                  <c:v>320.22973400000001</c:v>
                </c:pt>
                <c:pt idx="197">
                  <c:v>320.23667799999998</c:v>
                </c:pt>
                <c:pt idx="198">
                  <c:v>320.24362300000001</c:v>
                </c:pt>
                <c:pt idx="199">
                  <c:v>320.25056699999999</c:v>
                </c:pt>
                <c:pt idx="200">
                  <c:v>320.25751200000002</c:v>
                </c:pt>
                <c:pt idx="201">
                  <c:v>320.264456</c:v>
                </c:pt>
                <c:pt idx="202">
                  <c:v>320.27140000000003</c:v>
                </c:pt>
                <c:pt idx="203">
                  <c:v>320.278345</c:v>
                </c:pt>
                <c:pt idx="204">
                  <c:v>320.28528899999998</c:v>
                </c:pt>
                <c:pt idx="205">
                  <c:v>320.29223400000001</c:v>
                </c:pt>
                <c:pt idx="206">
                  <c:v>320.29917799999998</c:v>
                </c:pt>
                <c:pt idx="207">
                  <c:v>320.30612300000001</c:v>
                </c:pt>
                <c:pt idx="208">
                  <c:v>320.31306699999999</c:v>
                </c:pt>
                <c:pt idx="209">
                  <c:v>320.32001200000002</c:v>
                </c:pt>
                <c:pt idx="210">
                  <c:v>320.326956</c:v>
                </c:pt>
                <c:pt idx="211">
                  <c:v>320.33390000000003</c:v>
                </c:pt>
                <c:pt idx="212">
                  <c:v>320.340845</c:v>
                </c:pt>
                <c:pt idx="213">
                  <c:v>320.34778899999998</c:v>
                </c:pt>
                <c:pt idx="214">
                  <c:v>320.35473400000001</c:v>
                </c:pt>
                <c:pt idx="215">
                  <c:v>320.36167799999998</c:v>
                </c:pt>
                <c:pt idx="216">
                  <c:v>320.36863399999999</c:v>
                </c:pt>
                <c:pt idx="217">
                  <c:v>320.37557900000002</c:v>
                </c:pt>
                <c:pt idx="218">
                  <c:v>320.38252299999999</c:v>
                </c:pt>
                <c:pt idx="219">
                  <c:v>320.38946800000002</c:v>
                </c:pt>
                <c:pt idx="220">
                  <c:v>320.396412</c:v>
                </c:pt>
                <c:pt idx="221">
                  <c:v>320.40335599999997</c:v>
                </c:pt>
                <c:pt idx="222">
                  <c:v>320.410301</c:v>
                </c:pt>
                <c:pt idx="223">
                  <c:v>320.41724499999998</c:v>
                </c:pt>
                <c:pt idx="224">
                  <c:v>320.42419000000001</c:v>
                </c:pt>
                <c:pt idx="225">
                  <c:v>320.43113399999999</c:v>
                </c:pt>
                <c:pt idx="226">
                  <c:v>320.43806699999999</c:v>
                </c:pt>
                <c:pt idx="227">
                  <c:v>320.44501200000002</c:v>
                </c:pt>
                <c:pt idx="228">
                  <c:v>320.451956</c:v>
                </c:pt>
                <c:pt idx="229">
                  <c:v>320.45890000000003</c:v>
                </c:pt>
                <c:pt idx="230">
                  <c:v>320.465845</c:v>
                </c:pt>
                <c:pt idx="231">
                  <c:v>320.47278899999998</c:v>
                </c:pt>
                <c:pt idx="232">
                  <c:v>320.47973400000001</c:v>
                </c:pt>
                <c:pt idx="233">
                  <c:v>320.48667799999998</c:v>
                </c:pt>
                <c:pt idx="234">
                  <c:v>320.49362300000001</c:v>
                </c:pt>
                <c:pt idx="235">
                  <c:v>320.50056699999999</c:v>
                </c:pt>
                <c:pt idx="236">
                  <c:v>320.50751200000002</c:v>
                </c:pt>
                <c:pt idx="237">
                  <c:v>320.514456</c:v>
                </c:pt>
                <c:pt idx="238">
                  <c:v>320.52140000000003</c:v>
                </c:pt>
                <c:pt idx="239">
                  <c:v>320.528345</c:v>
                </c:pt>
                <c:pt idx="240">
                  <c:v>320.53528899999998</c:v>
                </c:pt>
                <c:pt idx="241">
                  <c:v>320.54223400000001</c:v>
                </c:pt>
                <c:pt idx="242">
                  <c:v>320.54917799999998</c:v>
                </c:pt>
                <c:pt idx="243">
                  <c:v>320.55612300000001</c:v>
                </c:pt>
                <c:pt idx="244">
                  <c:v>320.56306699999999</c:v>
                </c:pt>
                <c:pt idx="245">
                  <c:v>320.57001200000002</c:v>
                </c:pt>
                <c:pt idx="246">
                  <c:v>320.576956</c:v>
                </c:pt>
                <c:pt idx="247">
                  <c:v>320.58390000000003</c:v>
                </c:pt>
                <c:pt idx="248">
                  <c:v>320.590845</c:v>
                </c:pt>
                <c:pt idx="249">
                  <c:v>320.59778899999998</c:v>
                </c:pt>
                <c:pt idx="250">
                  <c:v>320.60473400000001</c:v>
                </c:pt>
                <c:pt idx="251">
                  <c:v>320.61167799999998</c:v>
                </c:pt>
                <c:pt idx="252">
                  <c:v>320.61862300000001</c:v>
                </c:pt>
                <c:pt idx="253">
                  <c:v>320.62557900000002</c:v>
                </c:pt>
                <c:pt idx="254">
                  <c:v>320.63252299999999</c:v>
                </c:pt>
                <c:pt idx="255">
                  <c:v>320.63946800000002</c:v>
                </c:pt>
                <c:pt idx="256">
                  <c:v>320.646412</c:v>
                </c:pt>
                <c:pt idx="257">
                  <c:v>320.65335599999997</c:v>
                </c:pt>
                <c:pt idx="258">
                  <c:v>320.660301</c:v>
                </c:pt>
                <c:pt idx="259">
                  <c:v>320.66724499999998</c:v>
                </c:pt>
                <c:pt idx="260">
                  <c:v>320.67419000000001</c:v>
                </c:pt>
                <c:pt idx="261">
                  <c:v>320.68113399999999</c:v>
                </c:pt>
                <c:pt idx="262">
                  <c:v>320.68807900000002</c:v>
                </c:pt>
                <c:pt idx="263">
                  <c:v>320.69501200000002</c:v>
                </c:pt>
                <c:pt idx="264">
                  <c:v>320.701956</c:v>
                </c:pt>
                <c:pt idx="265">
                  <c:v>320.70890000000003</c:v>
                </c:pt>
                <c:pt idx="266">
                  <c:v>320.715845</c:v>
                </c:pt>
                <c:pt idx="267">
                  <c:v>320.72278899999998</c:v>
                </c:pt>
                <c:pt idx="268">
                  <c:v>320.72973400000001</c:v>
                </c:pt>
                <c:pt idx="269">
                  <c:v>320.73667799999998</c:v>
                </c:pt>
                <c:pt idx="270">
                  <c:v>320.74362300000001</c:v>
                </c:pt>
                <c:pt idx="271">
                  <c:v>320.75056699999999</c:v>
                </c:pt>
                <c:pt idx="272">
                  <c:v>320.75751200000002</c:v>
                </c:pt>
                <c:pt idx="273">
                  <c:v>320.764456</c:v>
                </c:pt>
                <c:pt idx="274">
                  <c:v>320.77140000000003</c:v>
                </c:pt>
                <c:pt idx="275">
                  <c:v>320.778345</c:v>
                </c:pt>
                <c:pt idx="276">
                  <c:v>320.78528899999998</c:v>
                </c:pt>
                <c:pt idx="277">
                  <c:v>320.79223400000001</c:v>
                </c:pt>
                <c:pt idx="278">
                  <c:v>320.79917799999998</c:v>
                </c:pt>
                <c:pt idx="279">
                  <c:v>320.80612300000001</c:v>
                </c:pt>
                <c:pt idx="280">
                  <c:v>320.81306699999999</c:v>
                </c:pt>
                <c:pt idx="281">
                  <c:v>320.82001200000002</c:v>
                </c:pt>
                <c:pt idx="282">
                  <c:v>320.826956</c:v>
                </c:pt>
                <c:pt idx="283">
                  <c:v>320.83390000000003</c:v>
                </c:pt>
                <c:pt idx="284">
                  <c:v>320.840845</c:v>
                </c:pt>
                <c:pt idx="285">
                  <c:v>320.84778899999998</c:v>
                </c:pt>
                <c:pt idx="286">
                  <c:v>320.85473400000001</c:v>
                </c:pt>
                <c:pt idx="287">
                  <c:v>320.86167799999998</c:v>
                </c:pt>
                <c:pt idx="288">
                  <c:v>320.86862300000001</c:v>
                </c:pt>
                <c:pt idx="289">
                  <c:v>320.87556699999999</c:v>
                </c:pt>
                <c:pt idx="290">
                  <c:v>320.88252299999999</c:v>
                </c:pt>
                <c:pt idx="291">
                  <c:v>320.88946800000002</c:v>
                </c:pt>
              </c:numCache>
            </c:numRef>
          </c:xVal>
          <c:yVal>
            <c:numRef>
              <c:f>'[1]Compare with UW CTD'!$C$7:$C$298</c:f>
              <c:numCache>
                <c:formatCode>General</c:formatCode>
                <c:ptCount val="292"/>
                <c:pt idx="0">
                  <c:v>212.75</c:v>
                </c:pt>
                <c:pt idx="1">
                  <c:v>259.26</c:v>
                </c:pt>
                <c:pt idx="2">
                  <c:v>241.25</c:v>
                </c:pt>
                <c:pt idx="3">
                  <c:v>248.03</c:v>
                </c:pt>
                <c:pt idx="4">
                  <c:v>250.12</c:v>
                </c:pt>
                <c:pt idx="5">
                  <c:v>254.09</c:v>
                </c:pt>
                <c:pt idx="6">
                  <c:v>263.68</c:v>
                </c:pt>
                <c:pt idx="7">
                  <c:v>269.7</c:v>
                </c:pt>
                <c:pt idx="8">
                  <c:v>274.89</c:v>
                </c:pt>
                <c:pt idx="9">
                  <c:v>279.62</c:v>
                </c:pt>
                <c:pt idx="10">
                  <c:v>281.04000000000002</c:v>
                </c:pt>
                <c:pt idx="11">
                  <c:v>281.05</c:v>
                </c:pt>
                <c:pt idx="12">
                  <c:v>283.89999999999998</c:v>
                </c:pt>
                <c:pt idx="13">
                  <c:v>287.51</c:v>
                </c:pt>
                <c:pt idx="14">
                  <c:v>288.7</c:v>
                </c:pt>
                <c:pt idx="15">
                  <c:v>288.57</c:v>
                </c:pt>
                <c:pt idx="16">
                  <c:v>290.14999999999998</c:v>
                </c:pt>
                <c:pt idx="17">
                  <c:v>291.14999999999998</c:v>
                </c:pt>
                <c:pt idx="18">
                  <c:v>293.37</c:v>
                </c:pt>
                <c:pt idx="19">
                  <c:v>293.92</c:v>
                </c:pt>
                <c:pt idx="20">
                  <c:v>294.13</c:v>
                </c:pt>
                <c:pt idx="21">
                  <c:v>296.48</c:v>
                </c:pt>
                <c:pt idx="22">
                  <c:v>296.55</c:v>
                </c:pt>
                <c:pt idx="23">
                  <c:v>294.43</c:v>
                </c:pt>
                <c:pt idx="24">
                  <c:v>295.06</c:v>
                </c:pt>
                <c:pt idx="25">
                  <c:v>297.25</c:v>
                </c:pt>
                <c:pt idx="26">
                  <c:v>299.27</c:v>
                </c:pt>
                <c:pt idx="27">
                  <c:v>306.88</c:v>
                </c:pt>
                <c:pt idx="28">
                  <c:v>308.60000000000002</c:v>
                </c:pt>
                <c:pt idx="29">
                  <c:v>310.72000000000003</c:v>
                </c:pt>
                <c:pt idx="30">
                  <c:v>310.45999999999998</c:v>
                </c:pt>
                <c:pt idx="31">
                  <c:v>309.31</c:v>
                </c:pt>
                <c:pt idx="32">
                  <c:v>306.14</c:v>
                </c:pt>
                <c:pt idx="33">
                  <c:v>300.7</c:v>
                </c:pt>
                <c:pt idx="34">
                  <c:v>302.56</c:v>
                </c:pt>
                <c:pt idx="35">
                  <c:v>301.74</c:v>
                </c:pt>
                <c:pt idx="36">
                  <c:v>296.27</c:v>
                </c:pt>
                <c:pt idx="37">
                  <c:v>290.3</c:v>
                </c:pt>
                <c:pt idx="38">
                  <c:v>282.43</c:v>
                </c:pt>
                <c:pt idx="39">
                  <c:v>275.41000000000003</c:v>
                </c:pt>
                <c:pt idx="40">
                  <c:v>267.8</c:v>
                </c:pt>
                <c:pt idx="41">
                  <c:v>262.73</c:v>
                </c:pt>
                <c:pt idx="42">
                  <c:v>257.41000000000003</c:v>
                </c:pt>
                <c:pt idx="43">
                  <c:v>253.76</c:v>
                </c:pt>
                <c:pt idx="44">
                  <c:v>247.02</c:v>
                </c:pt>
                <c:pt idx="45">
                  <c:v>237.19</c:v>
                </c:pt>
                <c:pt idx="46">
                  <c:v>229.71</c:v>
                </c:pt>
                <c:pt idx="47">
                  <c:v>227.49</c:v>
                </c:pt>
                <c:pt idx="48">
                  <c:v>223.19</c:v>
                </c:pt>
                <c:pt idx="49">
                  <c:v>219.21</c:v>
                </c:pt>
                <c:pt idx="50">
                  <c:v>214.61</c:v>
                </c:pt>
                <c:pt idx="51">
                  <c:v>212.32</c:v>
                </c:pt>
                <c:pt idx="52">
                  <c:v>206.88</c:v>
                </c:pt>
                <c:pt idx="53">
                  <c:v>200.22</c:v>
                </c:pt>
                <c:pt idx="54">
                  <c:v>196.14</c:v>
                </c:pt>
                <c:pt idx="55">
                  <c:v>195.88</c:v>
                </c:pt>
                <c:pt idx="56">
                  <c:v>191.76</c:v>
                </c:pt>
                <c:pt idx="57">
                  <c:v>186.23</c:v>
                </c:pt>
                <c:pt idx="58">
                  <c:v>185.24</c:v>
                </c:pt>
                <c:pt idx="59">
                  <c:v>182.34</c:v>
                </c:pt>
                <c:pt idx="60">
                  <c:v>177.67</c:v>
                </c:pt>
                <c:pt idx="61">
                  <c:v>172.89</c:v>
                </c:pt>
                <c:pt idx="62">
                  <c:v>169.7</c:v>
                </c:pt>
                <c:pt idx="63">
                  <c:v>166.89</c:v>
                </c:pt>
                <c:pt idx="64">
                  <c:v>165.43</c:v>
                </c:pt>
                <c:pt idx="65">
                  <c:v>164.19</c:v>
                </c:pt>
                <c:pt idx="66">
                  <c:v>162.91999999999999</c:v>
                </c:pt>
                <c:pt idx="67">
                  <c:v>161.85</c:v>
                </c:pt>
                <c:pt idx="68">
                  <c:v>161</c:v>
                </c:pt>
                <c:pt idx="69">
                  <c:v>160.02000000000001</c:v>
                </c:pt>
                <c:pt idx="70">
                  <c:v>159.13999999999999</c:v>
                </c:pt>
                <c:pt idx="71">
                  <c:v>157.97999999999999</c:v>
                </c:pt>
                <c:pt idx="72">
                  <c:v>157.43</c:v>
                </c:pt>
                <c:pt idx="73">
                  <c:v>156.37</c:v>
                </c:pt>
                <c:pt idx="74">
                  <c:v>155.44</c:v>
                </c:pt>
                <c:pt idx="75">
                  <c:v>154.37</c:v>
                </c:pt>
                <c:pt idx="76">
                  <c:v>154.58000000000001</c:v>
                </c:pt>
                <c:pt idx="77">
                  <c:v>154.74</c:v>
                </c:pt>
                <c:pt idx="78">
                  <c:v>160.1</c:v>
                </c:pt>
                <c:pt idx="79">
                  <c:v>164.53</c:v>
                </c:pt>
                <c:pt idx="80">
                  <c:v>165.53</c:v>
                </c:pt>
                <c:pt idx="81">
                  <c:v>165.13</c:v>
                </c:pt>
                <c:pt idx="82">
                  <c:v>165.55</c:v>
                </c:pt>
                <c:pt idx="83">
                  <c:v>165.15</c:v>
                </c:pt>
                <c:pt idx="84">
                  <c:v>163.65</c:v>
                </c:pt>
                <c:pt idx="85">
                  <c:v>162.72</c:v>
                </c:pt>
                <c:pt idx="86">
                  <c:v>162.03</c:v>
                </c:pt>
                <c:pt idx="87">
                  <c:v>162.41</c:v>
                </c:pt>
                <c:pt idx="88">
                  <c:v>163.49</c:v>
                </c:pt>
                <c:pt idx="89">
                  <c:v>162.43</c:v>
                </c:pt>
                <c:pt idx="90">
                  <c:v>161.36000000000001</c:v>
                </c:pt>
                <c:pt idx="91">
                  <c:v>161.99</c:v>
                </c:pt>
                <c:pt idx="92">
                  <c:v>161.03</c:v>
                </c:pt>
                <c:pt idx="93">
                  <c:v>160.11000000000001</c:v>
                </c:pt>
                <c:pt idx="94">
                  <c:v>161.01</c:v>
                </c:pt>
                <c:pt idx="95">
                  <c:v>160.72999999999999</c:v>
                </c:pt>
                <c:pt idx="96">
                  <c:v>161.02000000000001</c:v>
                </c:pt>
                <c:pt idx="97">
                  <c:v>160.1</c:v>
                </c:pt>
                <c:pt idx="98">
                  <c:v>161.04</c:v>
                </c:pt>
                <c:pt idx="99">
                  <c:v>160.03</c:v>
                </c:pt>
                <c:pt idx="100">
                  <c:v>161.36000000000001</c:v>
                </c:pt>
                <c:pt idx="101">
                  <c:v>159.9</c:v>
                </c:pt>
                <c:pt idx="102">
                  <c:v>160.54</c:v>
                </c:pt>
                <c:pt idx="103">
                  <c:v>159.54</c:v>
                </c:pt>
                <c:pt idx="104">
                  <c:v>159.16</c:v>
                </c:pt>
                <c:pt idx="105">
                  <c:v>159.65</c:v>
                </c:pt>
                <c:pt idx="106">
                  <c:v>159.32</c:v>
                </c:pt>
                <c:pt idx="107">
                  <c:v>158.03</c:v>
                </c:pt>
                <c:pt idx="108">
                  <c:v>157.51</c:v>
                </c:pt>
                <c:pt idx="109">
                  <c:v>157.13</c:v>
                </c:pt>
                <c:pt idx="110">
                  <c:v>156.85</c:v>
                </c:pt>
                <c:pt idx="111">
                  <c:v>155.33000000000001</c:v>
                </c:pt>
                <c:pt idx="112">
                  <c:v>156.62</c:v>
                </c:pt>
                <c:pt idx="113">
                  <c:v>158.66999999999999</c:v>
                </c:pt>
                <c:pt idx="114">
                  <c:v>165.6</c:v>
                </c:pt>
                <c:pt idx="115">
                  <c:v>167.84</c:v>
                </c:pt>
                <c:pt idx="116">
                  <c:v>167.65</c:v>
                </c:pt>
                <c:pt idx="117">
                  <c:v>167.12</c:v>
                </c:pt>
                <c:pt idx="118">
                  <c:v>169.03</c:v>
                </c:pt>
                <c:pt idx="119">
                  <c:v>170.5</c:v>
                </c:pt>
                <c:pt idx="120">
                  <c:v>173.16</c:v>
                </c:pt>
                <c:pt idx="121">
                  <c:v>180.19</c:v>
                </c:pt>
                <c:pt idx="122">
                  <c:v>183.89</c:v>
                </c:pt>
                <c:pt idx="123">
                  <c:v>185.73</c:v>
                </c:pt>
                <c:pt idx="124">
                  <c:v>189.32</c:v>
                </c:pt>
                <c:pt idx="125">
                  <c:v>194.54</c:v>
                </c:pt>
                <c:pt idx="126">
                  <c:v>199.55</c:v>
                </c:pt>
                <c:pt idx="127">
                  <c:v>201.8</c:v>
                </c:pt>
                <c:pt idx="128">
                  <c:v>207.11</c:v>
                </c:pt>
                <c:pt idx="129">
                  <c:v>210.45</c:v>
                </c:pt>
                <c:pt idx="130">
                  <c:v>213.23</c:v>
                </c:pt>
                <c:pt idx="131">
                  <c:v>216.39</c:v>
                </c:pt>
                <c:pt idx="132">
                  <c:v>219.6</c:v>
                </c:pt>
                <c:pt idx="133">
                  <c:v>222.68</c:v>
                </c:pt>
                <c:pt idx="134">
                  <c:v>225.88</c:v>
                </c:pt>
                <c:pt idx="135">
                  <c:v>229.57</c:v>
                </c:pt>
                <c:pt idx="136">
                  <c:v>233.06</c:v>
                </c:pt>
                <c:pt idx="137">
                  <c:v>236.56</c:v>
                </c:pt>
                <c:pt idx="138">
                  <c:v>239.32</c:v>
                </c:pt>
                <c:pt idx="139">
                  <c:v>241.71</c:v>
                </c:pt>
                <c:pt idx="140">
                  <c:v>244.38</c:v>
                </c:pt>
                <c:pt idx="141">
                  <c:v>245.49</c:v>
                </c:pt>
                <c:pt idx="142">
                  <c:v>247.71</c:v>
                </c:pt>
                <c:pt idx="143">
                  <c:v>249.17</c:v>
                </c:pt>
                <c:pt idx="144">
                  <c:v>250.02</c:v>
                </c:pt>
                <c:pt idx="145">
                  <c:v>252.9</c:v>
                </c:pt>
                <c:pt idx="146">
                  <c:v>251.45</c:v>
                </c:pt>
                <c:pt idx="147">
                  <c:v>252.04</c:v>
                </c:pt>
                <c:pt idx="148">
                  <c:v>253.89</c:v>
                </c:pt>
                <c:pt idx="149">
                  <c:v>255.72</c:v>
                </c:pt>
                <c:pt idx="150">
                  <c:v>258.12</c:v>
                </c:pt>
                <c:pt idx="151">
                  <c:v>260.66000000000003</c:v>
                </c:pt>
                <c:pt idx="152">
                  <c:v>263.33</c:v>
                </c:pt>
                <c:pt idx="153">
                  <c:v>265.89999999999998</c:v>
                </c:pt>
                <c:pt idx="154">
                  <c:v>264.06</c:v>
                </c:pt>
                <c:pt idx="155">
                  <c:v>259.38</c:v>
                </c:pt>
                <c:pt idx="156">
                  <c:v>250.97</c:v>
                </c:pt>
                <c:pt idx="157">
                  <c:v>248.13</c:v>
                </c:pt>
                <c:pt idx="158">
                  <c:v>249.54</c:v>
                </c:pt>
                <c:pt idx="159">
                  <c:v>249.88</c:v>
                </c:pt>
                <c:pt idx="160">
                  <c:v>253.05</c:v>
                </c:pt>
                <c:pt idx="161">
                  <c:v>258.23</c:v>
                </c:pt>
                <c:pt idx="162">
                  <c:v>262.07</c:v>
                </c:pt>
                <c:pt idx="163">
                  <c:v>263.64999999999998</c:v>
                </c:pt>
                <c:pt idx="164">
                  <c:v>264.77999999999997</c:v>
                </c:pt>
                <c:pt idx="165">
                  <c:v>266.10000000000002</c:v>
                </c:pt>
                <c:pt idx="166">
                  <c:v>267.95</c:v>
                </c:pt>
                <c:pt idx="167">
                  <c:v>266.19</c:v>
                </c:pt>
                <c:pt idx="168">
                  <c:v>269.02999999999997</c:v>
                </c:pt>
                <c:pt idx="169">
                  <c:v>268.56</c:v>
                </c:pt>
                <c:pt idx="170">
                  <c:v>269.57</c:v>
                </c:pt>
                <c:pt idx="171">
                  <c:v>269.95</c:v>
                </c:pt>
                <c:pt idx="172">
                  <c:v>270.5</c:v>
                </c:pt>
                <c:pt idx="173">
                  <c:v>268.47000000000003</c:v>
                </c:pt>
                <c:pt idx="174">
                  <c:v>266.69</c:v>
                </c:pt>
                <c:pt idx="175">
                  <c:v>267.91000000000003</c:v>
                </c:pt>
                <c:pt idx="176">
                  <c:v>268.39</c:v>
                </c:pt>
                <c:pt idx="177">
                  <c:v>264.88</c:v>
                </c:pt>
                <c:pt idx="178">
                  <c:v>257.61</c:v>
                </c:pt>
                <c:pt idx="179">
                  <c:v>257.39</c:v>
                </c:pt>
                <c:pt idx="180">
                  <c:v>253.02</c:v>
                </c:pt>
                <c:pt idx="181">
                  <c:v>249.26</c:v>
                </c:pt>
                <c:pt idx="182">
                  <c:v>244.12</c:v>
                </c:pt>
                <c:pt idx="183">
                  <c:v>241.25</c:v>
                </c:pt>
                <c:pt idx="184">
                  <c:v>238.66</c:v>
                </c:pt>
                <c:pt idx="185">
                  <c:v>235.87</c:v>
                </c:pt>
                <c:pt idx="186">
                  <c:v>233.49</c:v>
                </c:pt>
                <c:pt idx="187">
                  <c:v>229.34</c:v>
                </c:pt>
                <c:pt idx="188">
                  <c:v>226.3</c:v>
                </c:pt>
                <c:pt idx="189">
                  <c:v>223.89</c:v>
                </c:pt>
                <c:pt idx="190">
                  <c:v>220.25</c:v>
                </c:pt>
                <c:pt idx="191">
                  <c:v>219.34</c:v>
                </c:pt>
                <c:pt idx="192">
                  <c:v>205.53</c:v>
                </c:pt>
                <c:pt idx="193">
                  <c:v>209.76</c:v>
                </c:pt>
                <c:pt idx="194">
                  <c:v>210.48</c:v>
                </c:pt>
                <c:pt idx="195">
                  <c:v>204.74</c:v>
                </c:pt>
                <c:pt idx="196">
                  <c:v>204.38</c:v>
                </c:pt>
                <c:pt idx="197">
                  <c:v>200.43</c:v>
                </c:pt>
                <c:pt idx="198">
                  <c:v>196.28</c:v>
                </c:pt>
                <c:pt idx="199">
                  <c:v>191.71</c:v>
                </c:pt>
                <c:pt idx="200">
                  <c:v>187.06</c:v>
                </c:pt>
                <c:pt idx="201">
                  <c:v>182.57</c:v>
                </c:pt>
                <c:pt idx="202">
                  <c:v>178.96</c:v>
                </c:pt>
                <c:pt idx="203">
                  <c:v>176.99</c:v>
                </c:pt>
                <c:pt idx="204">
                  <c:v>175.58</c:v>
                </c:pt>
                <c:pt idx="205">
                  <c:v>173.87</c:v>
                </c:pt>
                <c:pt idx="206">
                  <c:v>173.4</c:v>
                </c:pt>
                <c:pt idx="207">
                  <c:v>171.77</c:v>
                </c:pt>
                <c:pt idx="208">
                  <c:v>169.49</c:v>
                </c:pt>
                <c:pt idx="209">
                  <c:v>167.33</c:v>
                </c:pt>
                <c:pt idx="210">
                  <c:v>167.78</c:v>
                </c:pt>
                <c:pt idx="211">
                  <c:v>167.48</c:v>
                </c:pt>
                <c:pt idx="212">
                  <c:v>169.55</c:v>
                </c:pt>
                <c:pt idx="213">
                  <c:v>168.93</c:v>
                </c:pt>
                <c:pt idx="214">
                  <c:v>169.77</c:v>
                </c:pt>
                <c:pt idx="215">
                  <c:v>172.13</c:v>
                </c:pt>
                <c:pt idx="216">
                  <c:v>175.93</c:v>
                </c:pt>
                <c:pt idx="217">
                  <c:v>176.28</c:v>
                </c:pt>
                <c:pt idx="218">
                  <c:v>174.76</c:v>
                </c:pt>
                <c:pt idx="219">
                  <c:v>174.52</c:v>
                </c:pt>
                <c:pt idx="220">
                  <c:v>173.94</c:v>
                </c:pt>
                <c:pt idx="221">
                  <c:v>172.75</c:v>
                </c:pt>
                <c:pt idx="222">
                  <c:v>171.37</c:v>
                </c:pt>
                <c:pt idx="223">
                  <c:v>171.06</c:v>
                </c:pt>
                <c:pt idx="224">
                  <c:v>173.17</c:v>
                </c:pt>
                <c:pt idx="225">
                  <c:v>172.21</c:v>
                </c:pt>
                <c:pt idx="226">
                  <c:v>170.27</c:v>
                </c:pt>
                <c:pt idx="227">
                  <c:v>169.14</c:v>
                </c:pt>
                <c:pt idx="228">
                  <c:v>168.51</c:v>
                </c:pt>
                <c:pt idx="229">
                  <c:v>168.78</c:v>
                </c:pt>
                <c:pt idx="230">
                  <c:v>168.18</c:v>
                </c:pt>
                <c:pt idx="231">
                  <c:v>171.14</c:v>
                </c:pt>
                <c:pt idx="232">
                  <c:v>170.8</c:v>
                </c:pt>
                <c:pt idx="233">
                  <c:v>169.63</c:v>
                </c:pt>
                <c:pt idx="234">
                  <c:v>170.39</c:v>
                </c:pt>
                <c:pt idx="235">
                  <c:v>169.18</c:v>
                </c:pt>
                <c:pt idx="236">
                  <c:v>169.2</c:v>
                </c:pt>
                <c:pt idx="237">
                  <c:v>169.32</c:v>
                </c:pt>
                <c:pt idx="238">
                  <c:v>169.57</c:v>
                </c:pt>
                <c:pt idx="239">
                  <c:v>168.3</c:v>
                </c:pt>
                <c:pt idx="240">
                  <c:v>164.7</c:v>
                </c:pt>
                <c:pt idx="241">
                  <c:v>163.01</c:v>
                </c:pt>
                <c:pt idx="242">
                  <c:v>161.87</c:v>
                </c:pt>
                <c:pt idx="243">
                  <c:v>161.41999999999999</c:v>
                </c:pt>
                <c:pt idx="244">
                  <c:v>160.59</c:v>
                </c:pt>
                <c:pt idx="245">
                  <c:v>160.56</c:v>
                </c:pt>
                <c:pt idx="246">
                  <c:v>161.13</c:v>
                </c:pt>
                <c:pt idx="247">
                  <c:v>162.51</c:v>
                </c:pt>
                <c:pt idx="248">
                  <c:v>164.07</c:v>
                </c:pt>
                <c:pt idx="249">
                  <c:v>166.36</c:v>
                </c:pt>
                <c:pt idx="250">
                  <c:v>168.19</c:v>
                </c:pt>
                <c:pt idx="251">
                  <c:v>168.55</c:v>
                </c:pt>
                <c:pt idx="252">
                  <c:v>167.77</c:v>
                </c:pt>
                <c:pt idx="253">
                  <c:v>167.97</c:v>
                </c:pt>
                <c:pt idx="254">
                  <c:v>167.53</c:v>
                </c:pt>
                <c:pt idx="255">
                  <c:v>170.9</c:v>
                </c:pt>
                <c:pt idx="256">
                  <c:v>173.07</c:v>
                </c:pt>
                <c:pt idx="257">
                  <c:v>173.85</c:v>
                </c:pt>
                <c:pt idx="258">
                  <c:v>175.91</c:v>
                </c:pt>
                <c:pt idx="259">
                  <c:v>177.97</c:v>
                </c:pt>
                <c:pt idx="260">
                  <c:v>177.7</c:v>
                </c:pt>
                <c:pt idx="261">
                  <c:v>179.08</c:v>
                </c:pt>
                <c:pt idx="262">
                  <c:v>180.52</c:v>
                </c:pt>
                <c:pt idx="263">
                  <c:v>181.84</c:v>
                </c:pt>
                <c:pt idx="264">
                  <c:v>182.24</c:v>
                </c:pt>
                <c:pt idx="265">
                  <c:v>184.17</c:v>
                </c:pt>
                <c:pt idx="266">
                  <c:v>185.64</c:v>
                </c:pt>
                <c:pt idx="267">
                  <c:v>187.12</c:v>
                </c:pt>
                <c:pt idx="268">
                  <c:v>190.11</c:v>
                </c:pt>
                <c:pt idx="269">
                  <c:v>192.27</c:v>
                </c:pt>
                <c:pt idx="270">
                  <c:v>194.47</c:v>
                </c:pt>
                <c:pt idx="271">
                  <c:v>197.15</c:v>
                </c:pt>
                <c:pt idx="272">
                  <c:v>200.45</c:v>
                </c:pt>
                <c:pt idx="273">
                  <c:v>206.22</c:v>
                </c:pt>
                <c:pt idx="274">
                  <c:v>209.98</c:v>
                </c:pt>
                <c:pt idx="275">
                  <c:v>212.1</c:v>
                </c:pt>
                <c:pt idx="276">
                  <c:v>215.31</c:v>
                </c:pt>
                <c:pt idx="277">
                  <c:v>220.27</c:v>
                </c:pt>
                <c:pt idx="278">
                  <c:v>223.57</c:v>
                </c:pt>
                <c:pt idx="279">
                  <c:v>227.1</c:v>
                </c:pt>
                <c:pt idx="280">
                  <c:v>230.75</c:v>
                </c:pt>
                <c:pt idx="281">
                  <c:v>233.32</c:v>
                </c:pt>
                <c:pt idx="282">
                  <c:v>236.05</c:v>
                </c:pt>
                <c:pt idx="283">
                  <c:v>240.91</c:v>
                </c:pt>
                <c:pt idx="284">
                  <c:v>242.04</c:v>
                </c:pt>
                <c:pt idx="285">
                  <c:v>244.1</c:v>
                </c:pt>
                <c:pt idx="286">
                  <c:v>244.14</c:v>
                </c:pt>
                <c:pt idx="287">
                  <c:v>245.3</c:v>
                </c:pt>
                <c:pt idx="288">
                  <c:v>247.32</c:v>
                </c:pt>
                <c:pt idx="289">
                  <c:v>246.66</c:v>
                </c:pt>
                <c:pt idx="290">
                  <c:v>242.86</c:v>
                </c:pt>
                <c:pt idx="291">
                  <c:v>243.4</c:v>
                </c:pt>
              </c:numCache>
            </c:numRef>
          </c:yVal>
          <c:smooth val="0"/>
          <c:extLst>
            <c:ext xmlns:c16="http://schemas.microsoft.com/office/drawing/2014/chart" uri="{C3380CC4-5D6E-409C-BE32-E72D297353CC}">
              <c16:uniqueId val="{00000000-1179-414B-8CB5-ED5057F8EB40}"/>
            </c:ext>
          </c:extLst>
        </c:ser>
        <c:ser>
          <c:idx val="3"/>
          <c:order val="1"/>
          <c:tx>
            <c:v>LOaner CTD</c:v>
          </c:tx>
          <c:spPr>
            <a:ln w="47625">
              <a:noFill/>
            </a:ln>
            <a:effectLst/>
          </c:spPr>
          <c:marker>
            <c:symbol val="circle"/>
            <c:size val="9"/>
            <c:spPr>
              <a:noFill/>
              <a:effectLst/>
            </c:spPr>
          </c:marker>
          <c:xVal>
            <c:numRef>
              <c:f>'[1]Compare with LoanerCTD (Seabird'!$B$2:$B$304</c:f>
              <c:numCache>
                <c:formatCode>General</c:formatCode>
                <c:ptCount val="303"/>
                <c:pt idx="0">
                  <c:v>318.83334500000001</c:v>
                </c:pt>
                <c:pt idx="1">
                  <c:v>318.840845</c:v>
                </c:pt>
                <c:pt idx="2">
                  <c:v>318.84723400000001</c:v>
                </c:pt>
                <c:pt idx="3">
                  <c:v>318.85416700000002</c:v>
                </c:pt>
                <c:pt idx="4">
                  <c:v>318.86111099999999</c:v>
                </c:pt>
                <c:pt idx="5">
                  <c:v>318.86805600000002</c:v>
                </c:pt>
                <c:pt idx="6">
                  <c:v>318.87556699999999</c:v>
                </c:pt>
                <c:pt idx="7">
                  <c:v>318.88251200000002</c:v>
                </c:pt>
                <c:pt idx="8">
                  <c:v>318.889456</c:v>
                </c:pt>
                <c:pt idx="9">
                  <c:v>318.89640000000003</c:v>
                </c:pt>
                <c:pt idx="10">
                  <c:v>318.903345</c:v>
                </c:pt>
                <c:pt idx="11">
                  <c:v>318.91028899999998</c:v>
                </c:pt>
                <c:pt idx="12">
                  <c:v>318.91724499999998</c:v>
                </c:pt>
                <c:pt idx="13">
                  <c:v>318.92419000000001</c:v>
                </c:pt>
                <c:pt idx="14">
                  <c:v>318.93113399999999</c:v>
                </c:pt>
                <c:pt idx="15">
                  <c:v>318.93807900000002</c:v>
                </c:pt>
                <c:pt idx="16">
                  <c:v>318.94502299999999</c:v>
                </c:pt>
                <c:pt idx="17">
                  <c:v>318.95196800000002</c:v>
                </c:pt>
                <c:pt idx="18">
                  <c:v>318.958912</c:v>
                </c:pt>
                <c:pt idx="19">
                  <c:v>318.96585599999997</c:v>
                </c:pt>
                <c:pt idx="20">
                  <c:v>318.972801</c:v>
                </c:pt>
                <c:pt idx="21">
                  <c:v>318.97974499999998</c:v>
                </c:pt>
                <c:pt idx="22">
                  <c:v>318.98667799999998</c:v>
                </c:pt>
                <c:pt idx="23">
                  <c:v>318.99362300000001</c:v>
                </c:pt>
                <c:pt idx="24">
                  <c:v>319.00056699999999</c:v>
                </c:pt>
                <c:pt idx="25">
                  <c:v>319.00751200000002</c:v>
                </c:pt>
                <c:pt idx="26">
                  <c:v>319.014456</c:v>
                </c:pt>
                <c:pt idx="27">
                  <c:v>319.02140000000003</c:v>
                </c:pt>
                <c:pt idx="28">
                  <c:v>319.028345</c:v>
                </c:pt>
                <c:pt idx="29">
                  <c:v>319.03528899999998</c:v>
                </c:pt>
                <c:pt idx="30">
                  <c:v>319.04223400000001</c:v>
                </c:pt>
                <c:pt idx="31">
                  <c:v>319.04917799999998</c:v>
                </c:pt>
                <c:pt idx="32">
                  <c:v>319.05612300000001</c:v>
                </c:pt>
                <c:pt idx="33">
                  <c:v>319.06306699999999</c:v>
                </c:pt>
                <c:pt idx="34">
                  <c:v>319.07001200000002</c:v>
                </c:pt>
                <c:pt idx="35">
                  <c:v>319.076956</c:v>
                </c:pt>
                <c:pt idx="36">
                  <c:v>319.08390000000003</c:v>
                </c:pt>
                <c:pt idx="37">
                  <c:v>319.090845</c:v>
                </c:pt>
                <c:pt idx="38">
                  <c:v>319.09778899999998</c:v>
                </c:pt>
                <c:pt idx="39">
                  <c:v>319.10473400000001</c:v>
                </c:pt>
                <c:pt idx="40">
                  <c:v>319.11167799999998</c:v>
                </c:pt>
                <c:pt idx="41">
                  <c:v>319.11862300000001</c:v>
                </c:pt>
                <c:pt idx="42">
                  <c:v>319.12556699999999</c:v>
                </c:pt>
                <c:pt idx="43">
                  <c:v>319.13251200000002</c:v>
                </c:pt>
                <c:pt idx="44">
                  <c:v>319.139456</c:v>
                </c:pt>
                <c:pt idx="45">
                  <c:v>319.14640000000003</c:v>
                </c:pt>
                <c:pt idx="46">
                  <c:v>319.153345</c:v>
                </c:pt>
                <c:pt idx="47">
                  <c:v>319.16028899999998</c:v>
                </c:pt>
                <c:pt idx="48">
                  <c:v>319.16724499999998</c:v>
                </c:pt>
                <c:pt idx="49">
                  <c:v>319.17419000000001</c:v>
                </c:pt>
                <c:pt idx="50">
                  <c:v>319.18113399999999</c:v>
                </c:pt>
                <c:pt idx="51">
                  <c:v>319.18807900000002</c:v>
                </c:pt>
                <c:pt idx="52">
                  <c:v>319.19502299999999</c:v>
                </c:pt>
                <c:pt idx="53">
                  <c:v>319.20196800000002</c:v>
                </c:pt>
                <c:pt idx="54">
                  <c:v>319.208912</c:v>
                </c:pt>
                <c:pt idx="55">
                  <c:v>319.21585599999997</c:v>
                </c:pt>
                <c:pt idx="56">
                  <c:v>319.222801</c:v>
                </c:pt>
                <c:pt idx="57">
                  <c:v>319.22974499999998</c:v>
                </c:pt>
                <c:pt idx="58">
                  <c:v>319.23667799999998</c:v>
                </c:pt>
                <c:pt idx="59">
                  <c:v>319.24362300000001</c:v>
                </c:pt>
                <c:pt idx="60">
                  <c:v>319.25056699999999</c:v>
                </c:pt>
                <c:pt idx="61">
                  <c:v>319.25751200000002</c:v>
                </c:pt>
                <c:pt idx="62">
                  <c:v>319.264456</c:v>
                </c:pt>
                <c:pt idx="63">
                  <c:v>319.27140000000003</c:v>
                </c:pt>
                <c:pt idx="64">
                  <c:v>319.278345</c:v>
                </c:pt>
                <c:pt idx="65">
                  <c:v>319.28528899999998</c:v>
                </c:pt>
                <c:pt idx="66">
                  <c:v>319.29223400000001</c:v>
                </c:pt>
                <c:pt idx="67">
                  <c:v>319.29917799999998</c:v>
                </c:pt>
                <c:pt idx="68">
                  <c:v>319.30612300000001</c:v>
                </c:pt>
                <c:pt idx="69">
                  <c:v>319.31306699999999</c:v>
                </c:pt>
                <c:pt idx="70">
                  <c:v>319.32001200000002</c:v>
                </c:pt>
                <c:pt idx="71">
                  <c:v>319.326956</c:v>
                </c:pt>
                <c:pt idx="72">
                  <c:v>319.33390000000003</c:v>
                </c:pt>
                <c:pt idx="73">
                  <c:v>319.340845</c:v>
                </c:pt>
                <c:pt idx="74">
                  <c:v>319.34778899999998</c:v>
                </c:pt>
                <c:pt idx="75">
                  <c:v>319.35473400000001</c:v>
                </c:pt>
                <c:pt idx="76">
                  <c:v>319.36167799999998</c:v>
                </c:pt>
                <c:pt idx="77">
                  <c:v>319.36862300000001</c:v>
                </c:pt>
                <c:pt idx="78">
                  <c:v>319.37556699999999</c:v>
                </c:pt>
                <c:pt idx="79">
                  <c:v>319.38251200000002</c:v>
                </c:pt>
                <c:pt idx="80">
                  <c:v>319.389456</c:v>
                </c:pt>
                <c:pt idx="81">
                  <c:v>319.39640000000003</c:v>
                </c:pt>
                <c:pt idx="82">
                  <c:v>319.403345</c:v>
                </c:pt>
                <c:pt idx="83">
                  <c:v>319.41028899999998</c:v>
                </c:pt>
                <c:pt idx="84">
                  <c:v>319.41723400000001</c:v>
                </c:pt>
                <c:pt idx="85">
                  <c:v>319.42419000000001</c:v>
                </c:pt>
                <c:pt idx="86">
                  <c:v>319.43113399999999</c:v>
                </c:pt>
                <c:pt idx="87">
                  <c:v>319.43807900000002</c:v>
                </c:pt>
                <c:pt idx="88">
                  <c:v>319.44502299999999</c:v>
                </c:pt>
                <c:pt idx="89">
                  <c:v>319.45196800000002</c:v>
                </c:pt>
                <c:pt idx="90">
                  <c:v>319.458912</c:v>
                </c:pt>
                <c:pt idx="91">
                  <c:v>319.46585599999997</c:v>
                </c:pt>
                <c:pt idx="92">
                  <c:v>319.472801</c:v>
                </c:pt>
                <c:pt idx="93">
                  <c:v>319.47974499999998</c:v>
                </c:pt>
                <c:pt idx="94">
                  <c:v>319.48669000000001</c:v>
                </c:pt>
                <c:pt idx="95">
                  <c:v>319.49362300000001</c:v>
                </c:pt>
                <c:pt idx="96">
                  <c:v>319.50056699999999</c:v>
                </c:pt>
                <c:pt idx="97">
                  <c:v>319.50751200000002</c:v>
                </c:pt>
                <c:pt idx="98">
                  <c:v>319.514456</c:v>
                </c:pt>
                <c:pt idx="99">
                  <c:v>319.52140000000003</c:v>
                </c:pt>
                <c:pt idx="100">
                  <c:v>319.528345</c:v>
                </c:pt>
                <c:pt idx="101">
                  <c:v>319.53528899999998</c:v>
                </c:pt>
                <c:pt idx="102">
                  <c:v>319.54223400000001</c:v>
                </c:pt>
                <c:pt idx="103">
                  <c:v>319.54917799999998</c:v>
                </c:pt>
                <c:pt idx="104">
                  <c:v>319.55612300000001</c:v>
                </c:pt>
                <c:pt idx="105">
                  <c:v>319.56306699999999</c:v>
                </c:pt>
                <c:pt idx="106">
                  <c:v>319.57001200000002</c:v>
                </c:pt>
                <c:pt idx="107">
                  <c:v>319.576956</c:v>
                </c:pt>
                <c:pt idx="108">
                  <c:v>319.58390000000003</c:v>
                </c:pt>
                <c:pt idx="109">
                  <c:v>319.590845</c:v>
                </c:pt>
                <c:pt idx="110">
                  <c:v>319.59778899999998</c:v>
                </c:pt>
                <c:pt idx="111">
                  <c:v>319.60473400000001</c:v>
                </c:pt>
                <c:pt idx="112">
                  <c:v>319.61167799999998</c:v>
                </c:pt>
                <c:pt idx="113">
                  <c:v>319.61862300000001</c:v>
                </c:pt>
                <c:pt idx="114">
                  <c:v>319.62556699999999</c:v>
                </c:pt>
                <c:pt idx="115">
                  <c:v>319.63251200000002</c:v>
                </c:pt>
                <c:pt idx="116">
                  <c:v>319.639456</c:v>
                </c:pt>
                <c:pt idx="117">
                  <c:v>319.64640000000003</c:v>
                </c:pt>
                <c:pt idx="118">
                  <c:v>319.653345</c:v>
                </c:pt>
                <c:pt idx="119">
                  <c:v>319.66028899999998</c:v>
                </c:pt>
                <c:pt idx="120">
                  <c:v>319.66723400000001</c:v>
                </c:pt>
                <c:pt idx="121">
                  <c:v>319.67417799999998</c:v>
                </c:pt>
                <c:pt idx="122">
                  <c:v>319.68113399999999</c:v>
                </c:pt>
                <c:pt idx="123">
                  <c:v>319.68807900000002</c:v>
                </c:pt>
                <c:pt idx="124">
                  <c:v>319.69502299999999</c:v>
                </c:pt>
                <c:pt idx="125">
                  <c:v>319.70196800000002</c:v>
                </c:pt>
                <c:pt idx="126">
                  <c:v>319.708912</c:v>
                </c:pt>
                <c:pt idx="127">
                  <c:v>319.71585599999997</c:v>
                </c:pt>
                <c:pt idx="128">
                  <c:v>319.722801</c:v>
                </c:pt>
                <c:pt idx="129">
                  <c:v>319.72974499999998</c:v>
                </c:pt>
                <c:pt idx="130">
                  <c:v>319.73669000000001</c:v>
                </c:pt>
                <c:pt idx="131">
                  <c:v>319.74363399999999</c:v>
                </c:pt>
                <c:pt idx="132">
                  <c:v>319.75056699999999</c:v>
                </c:pt>
                <c:pt idx="133">
                  <c:v>319.75751200000002</c:v>
                </c:pt>
                <c:pt idx="134">
                  <c:v>319.764456</c:v>
                </c:pt>
                <c:pt idx="135">
                  <c:v>319.77140000000003</c:v>
                </c:pt>
                <c:pt idx="136">
                  <c:v>319.778345</c:v>
                </c:pt>
                <c:pt idx="137">
                  <c:v>319.78528899999998</c:v>
                </c:pt>
                <c:pt idx="138">
                  <c:v>319.79223400000001</c:v>
                </c:pt>
                <c:pt idx="139">
                  <c:v>319.79917799999998</c:v>
                </c:pt>
                <c:pt idx="140">
                  <c:v>319.80612300000001</c:v>
                </c:pt>
                <c:pt idx="141">
                  <c:v>319.81306699999999</c:v>
                </c:pt>
                <c:pt idx="142">
                  <c:v>319.82001200000002</c:v>
                </c:pt>
                <c:pt idx="143">
                  <c:v>319.826956</c:v>
                </c:pt>
                <c:pt idx="144">
                  <c:v>319.83390000000003</c:v>
                </c:pt>
                <c:pt idx="145">
                  <c:v>319.840845</c:v>
                </c:pt>
                <c:pt idx="146">
                  <c:v>319.84778899999998</c:v>
                </c:pt>
                <c:pt idx="147">
                  <c:v>319.85473400000001</c:v>
                </c:pt>
                <c:pt idx="148">
                  <c:v>319.86167799999998</c:v>
                </c:pt>
                <c:pt idx="149">
                  <c:v>319.86862300000001</c:v>
                </c:pt>
                <c:pt idx="150">
                  <c:v>319.87556699999999</c:v>
                </c:pt>
                <c:pt idx="151">
                  <c:v>319.88251200000002</c:v>
                </c:pt>
                <c:pt idx="152">
                  <c:v>319.889456</c:v>
                </c:pt>
                <c:pt idx="153">
                  <c:v>319.89640000000003</c:v>
                </c:pt>
                <c:pt idx="154">
                  <c:v>319.903345</c:v>
                </c:pt>
                <c:pt idx="155">
                  <c:v>319.91028899999998</c:v>
                </c:pt>
                <c:pt idx="156">
                  <c:v>319.91723400000001</c:v>
                </c:pt>
                <c:pt idx="157">
                  <c:v>319.92417799999998</c:v>
                </c:pt>
                <c:pt idx="158">
                  <c:v>319.93112300000001</c:v>
                </c:pt>
                <c:pt idx="159">
                  <c:v>319.93807900000002</c:v>
                </c:pt>
                <c:pt idx="160">
                  <c:v>319.94502299999999</c:v>
                </c:pt>
                <c:pt idx="161">
                  <c:v>319.95196800000002</c:v>
                </c:pt>
                <c:pt idx="162">
                  <c:v>319.958912</c:v>
                </c:pt>
                <c:pt idx="163">
                  <c:v>319.96585599999997</c:v>
                </c:pt>
                <c:pt idx="164">
                  <c:v>319.972801</c:v>
                </c:pt>
                <c:pt idx="165">
                  <c:v>319.97974499999998</c:v>
                </c:pt>
                <c:pt idx="166">
                  <c:v>319.98669000000001</c:v>
                </c:pt>
                <c:pt idx="167">
                  <c:v>319.99363399999999</c:v>
                </c:pt>
                <c:pt idx="168">
                  <c:v>320.00057900000002</c:v>
                </c:pt>
                <c:pt idx="169">
                  <c:v>320.00751200000002</c:v>
                </c:pt>
                <c:pt idx="170">
                  <c:v>320.014456</c:v>
                </c:pt>
                <c:pt idx="171">
                  <c:v>320.02140000000003</c:v>
                </c:pt>
                <c:pt idx="172">
                  <c:v>320.028345</c:v>
                </c:pt>
                <c:pt idx="173">
                  <c:v>320.03528899999998</c:v>
                </c:pt>
                <c:pt idx="174">
                  <c:v>320.04223400000001</c:v>
                </c:pt>
                <c:pt idx="175">
                  <c:v>320.04917799999998</c:v>
                </c:pt>
                <c:pt idx="176">
                  <c:v>320.05612300000001</c:v>
                </c:pt>
                <c:pt idx="177">
                  <c:v>320.06306699999999</c:v>
                </c:pt>
                <c:pt idx="178">
                  <c:v>320.07001200000002</c:v>
                </c:pt>
                <c:pt idx="179">
                  <c:v>320.076956</c:v>
                </c:pt>
                <c:pt idx="180">
                  <c:v>320.08390000000003</c:v>
                </c:pt>
                <c:pt idx="181">
                  <c:v>320.090845</c:v>
                </c:pt>
                <c:pt idx="182">
                  <c:v>320.09778899999998</c:v>
                </c:pt>
                <c:pt idx="183">
                  <c:v>320.10473400000001</c:v>
                </c:pt>
                <c:pt idx="184">
                  <c:v>320.11167799999998</c:v>
                </c:pt>
                <c:pt idx="185">
                  <c:v>320.11862300000001</c:v>
                </c:pt>
                <c:pt idx="186">
                  <c:v>320.12556699999999</c:v>
                </c:pt>
                <c:pt idx="187">
                  <c:v>320.13251200000002</c:v>
                </c:pt>
                <c:pt idx="188">
                  <c:v>320.139456</c:v>
                </c:pt>
                <c:pt idx="189">
                  <c:v>320.14640000000003</c:v>
                </c:pt>
                <c:pt idx="190">
                  <c:v>320.153345</c:v>
                </c:pt>
                <c:pt idx="191">
                  <c:v>320.16028899999998</c:v>
                </c:pt>
                <c:pt idx="192">
                  <c:v>320.16723400000001</c:v>
                </c:pt>
                <c:pt idx="193">
                  <c:v>320.17417799999998</c:v>
                </c:pt>
                <c:pt idx="194">
                  <c:v>320.18112300000001</c:v>
                </c:pt>
                <c:pt idx="195">
                  <c:v>320.18807900000002</c:v>
                </c:pt>
                <c:pt idx="196">
                  <c:v>320.19502299999999</c:v>
                </c:pt>
                <c:pt idx="197">
                  <c:v>320.20196800000002</c:v>
                </c:pt>
                <c:pt idx="198">
                  <c:v>320.208912</c:v>
                </c:pt>
                <c:pt idx="199">
                  <c:v>320.21585599999997</c:v>
                </c:pt>
                <c:pt idx="200">
                  <c:v>320.222801</c:v>
                </c:pt>
                <c:pt idx="201">
                  <c:v>320.22974499999998</c:v>
                </c:pt>
                <c:pt idx="202">
                  <c:v>320.23669000000001</c:v>
                </c:pt>
                <c:pt idx="203">
                  <c:v>320.24363399999999</c:v>
                </c:pt>
                <c:pt idx="204">
                  <c:v>320.25057900000002</c:v>
                </c:pt>
                <c:pt idx="205">
                  <c:v>320.25751200000002</c:v>
                </c:pt>
                <c:pt idx="206">
                  <c:v>320.264456</c:v>
                </c:pt>
                <c:pt idx="207">
                  <c:v>320.27140000000003</c:v>
                </c:pt>
                <c:pt idx="208">
                  <c:v>320.278345</c:v>
                </c:pt>
                <c:pt idx="209">
                  <c:v>320.28528899999998</c:v>
                </c:pt>
                <c:pt idx="210">
                  <c:v>320.29223400000001</c:v>
                </c:pt>
                <c:pt idx="211">
                  <c:v>320.29917799999998</c:v>
                </c:pt>
                <c:pt idx="212">
                  <c:v>320.30612300000001</c:v>
                </c:pt>
                <c:pt idx="213">
                  <c:v>320.31306699999999</c:v>
                </c:pt>
                <c:pt idx="214">
                  <c:v>320.32001200000002</c:v>
                </c:pt>
                <c:pt idx="215">
                  <c:v>320.326956</c:v>
                </c:pt>
                <c:pt idx="216">
                  <c:v>320.33390000000003</c:v>
                </c:pt>
                <c:pt idx="217">
                  <c:v>320.340845</c:v>
                </c:pt>
                <c:pt idx="218">
                  <c:v>320.34778899999998</c:v>
                </c:pt>
                <c:pt idx="219">
                  <c:v>320.35473400000001</c:v>
                </c:pt>
                <c:pt idx="220">
                  <c:v>320.36167799999998</c:v>
                </c:pt>
                <c:pt idx="221">
                  <c:v>320.36862300000001</c:v>
                </c:pt>
                <c:pt idx="222">
                  <c:v>320.37556699999999</c:v>
                </c:pt>
                <c:pt idx="223">
                  <c:v>320.38251200000002</c:v>
                </c:pt>
                <c:pt idx="224">
                  <c:v>320.389456</c:v>
                </c:pt>
                <c:pt idx="225">
                  <c:v>320.39640000000003</c:v>
                </c:pt>
                <c:pt idx="226">
                  <c:v>320.403345</c:v>
                </c:pt>
                <c:pt idx="227">
                  <c:v>320.41028899999998</c:v>
                </c:pt>
                <c:pt idx="228">
                  <c:v>320.41723400000001</c:v>
                </c:pt>
                <c:pt idx="229">
                  <c:v>320.42417799999998</c:v>
                </c:pt>
                <c:pt idx="230">
                  <c:v>320.43112300000001</c:v>
                </c:pt>
                <c:pt idx="231">
                  <c:v>320.43806699999999</c:v>
                </c:pt>
                <c:pt idx="232">
                  <c:v>320.44502299999999</c:v>
                </c:pt>
                <c:pt idx="233">
                  <c:v>320.45196800000002</c:v>
                </c:pt>
                <c:pt idx="234">
                  <c:v>320.458912</c:v>
                </c:pt>
                <c:pt idx="235">
                  <c:v>320.46585599999997</c:v>
                </c:pt>
                <c:pt idx="236">
                  <c:v>320.472801</c:v>
                </c:pt>
                <c:pt idx="237">
                  <c:v>320.47974499999998</c:v>
                </c:pt>
                <c:pt idx="238">
                  <c:v>320.48669000000001</c:v>
                </c:pt>
                <c:pt idx="239">
                  <c:v>320.49363399999999</c:v>
                </c:pt>
                <c:pt idx="240">
                  <c:v>320.50057900000002</c:v>
                </c:pt>
                <c:pt idx="241">
                  <c:v>320.50752299999999</c:v>
                </c:pt>
                <c:pt idx="242">
                  <c:v>320.514456</c:v>
                </c:pt>
                <c:pt idx="243">
                  <c:v>320.52140000000003</c:v>
                </c:pt>
                <c:pt idx="244">
                  <c:v>320.528345</c:v>
                </c:pt>
                <c:pt idx="245">
                  <c:v>320.53528899999998</c:v>
                </c:pt>
                <c:pt idx="246">
                  <c:v>320.54223400000001</c:v>
                </c:pt>
                <c:pt idx="247">
                  <c:v>320.54917799999998</c:v>
                </c:pt>
                <c:pt idx="248">
                  <c:v>320.55612300000001</c:v>
                </c:pt>
                <c:pt idx="249">
                  <c:v>320.56306699999999</c:v>
                </c:pt>
                <c:pt idx="250">
                  <c:v>320.57001200000002</c:v>
                </c:pt>
                <c:pt idx="251">
                  <c:v>320.576956</c:v>
                </c:pt>
                <c:pt idx="252">
                  <c:v>320.58390000000003</c:v>
                </c:pt>
                <c:pt idx="253">
                  <c:v>320.590845</c:v>
                </c:pt>
                <c:pt idx="254">
                  <c:v>320.59778899999998</c:v>
                </c:pt>
                <c:pt idx="255">
                  <c:v>320.60473400000001</c:v>
                </c:pt>
                <c:pt idx="256">
                  <c:v>320.61167799999998</c:v>
                </c:pt>
                <c:pt idx="257">
                  <c:v>320.61862300000001</c:v>
                </c:pt>
                <c:pt idx="258">
                  <c:v>320.62556699999999</c:v>
                </c:pt>
                <c:pt idx="259">
                  <c:v>320.63251200000002</c:v>
                </c:pt>
                <c:pt idx="260">
                  <c:v>320.639456</c:v>
                </c:pt>
                <c:pt idx="261">
                  <c:v>320.64640000000003</c:v>
                </c:pt>
                <c:pt idx="262">
                  <c:v>320.653345</c:v>
                </c:pt>
                <c:pt idx="263">
                  <c:v>320.66028899999998</c:v>
                </c:pt>
                <c:pt idx="264">
                  <c:v>320.66723400000001</c:v>
                </c:pt>
                <c:pt idx="265">
                  <c:v>320.67417799999998</c:v>
                </c:pt>
                <c:pt idx="266">
                  <c:v>320.68112300000001</c:v>
                </c:pt>
                <c:pt idx="267">
                  <c:v>320.68806699999999</c:v>
                </c:pt>
                <c:pt idx="268">
                  <c:v>320.69501200000002</c:v>
                </c:pt>
                <c:pt idx="269">
                  <c:v>320.70196800000002</c:v>
                </c:pt>
                <c:pt idx="270">
                  <c:v>320.708912</c:v>
                </c:pt>
                <c:pt idx="271">
                  <c:v>320.71585599999997</c:v>
                </c:pt>
                <c:pt idx="272">
                  <c:v>320.722801</c:v>
                </c:pt>
                <c:pt idx="273">
                  <c:v>320.72974499999998</c:v>
                </c:pt>
                <c:pt idx="274">
                  <c:v>320.73669000000001</c:v>
                </c:pt>
                <c:pt idx="275">
                  <c:v>320.74363399999999</c:v>
                </c:pt>
                <c:pt idx="276">
                  <c:v>320.75057900000002</c:v>
                </c:pt>
                <c:pt idx="277">
                  <c:v>320.75752299999999</c:v>
                </c:pt>
                <c:pt idx="278">
                  <c:v>320.76446800000002</c:v>
                </c:pt>
                <c:pt idx="279">
                  <c:v>320.77140000000003</c:v>
                </c:pt>
                <c:pt idx="280">
                  <c:v>320.778345</c:v>
                </c:pt>
                <c:pt idx="281">
                  <c:v>320.78528899999998</c:v>
                </c:pt>
                <c:pt idx="282">
                  <c:v>320.79223400000001</c:v>
                </c:pt>
                <c:pt idx="283">
                  <c:v>320.79917799999998</c:v>
                </c:pt>
                <c:pt idx="284">
                  <c:v>320.80612300000001</c:v>
                </c:pt>
                <c:pt idx="285">
                  <c:v>320.81306699999999</c:v>
                </c:pt>
                <c:pt idx="286">
                  <c:v>320.82001200000002</c:v>
                </c:pt>
                <c:pt idx="287">
                  <c:v>320.826956</c:v>
                </c:pt>
                <c:pt idx="288">
                  <c:v>320.83390000000003</c:v>
                </c:pt>
                <c:pt idx="289">
                  <c:v>320.840845</c:v>
                </c:pt>
                <c:pt idx="290">
                  <c:v>320.84778899999998</c:v>
                </c:pt>
                <c:pt idx="291">
                  <c:v>320.85473400000001</c:v>
                </c:pt>
                <c:pt idx="292">
                  <c:v>320.86167799999998</c:v>
                </c:pt>
                <c:pt idx="293">
                  <c:v>320.86862300000001</c:v>
                </c:pt>
                <c:pt idx="294">
                  <c:v>320.87556699999999</c:v>
                </c:pt>
                <c:pt idx="295">
                  <c:v>320.88251200000002</c:v>
                </c:pt>
                <c:pt idx="296">
                  <c:v>320.889456</c:v>
                </c:pt>
                <c:pt idx="297">
                  <c:v>320.89640000000003</c:v>
                </c:pt>
                <c:pt idx="298">
                  <c:v>320.90277800000001</c:v>
                </c:pt>
                <c:pt idx="299">
                  <c:v>320.90972199999999</c:v>
                </c:pt>
                <c:pt idx="300">
                  <c:v>320.91666700000002</c:v>
                </c:pt>
                <c:pt idx="301">
                  <c:v>320.92361099999999</c:v>
                </c:pt>
                <c:pt idx="302">
                  <c:v>320.93055600000002</c:v>
                </c:pt>
              </c:numCache>
            </c:numRef>
          </c:xVal>
          <c:yVal>
            <c:numRef>
              <c:f>'[1]Compare with LoanerCTD (Seabird'!$C$2:$C$304</c:f>
              <c:numCache>
                <c:formatCode>General</c:formatCode>
                <c:ptCount val="303"/>
                <c:pt idx="0">
                  <c:v>78.8</c:v>
                </c:pt>
                <c:pt idx="1">
                  <c:v>128.74</c:v>
                </c:pt>
                <c:pt idx="2">
                  <c:v>196.98</c:v>
                </c:pt>
                <c:pt idx="3">
                  <c:v>209.77</c:v>
                </c:pt>
                <c:pt idx="4">
                  <c:v>214.56</c:v>
                </c:pt>
                <c:pt idx="5">
                  <c:v>229.75</c:v>
                </c:pt>
                <c:pt idx="6">
                  <c:v>242.05</c:v>
                </c:pt>
                <c:pt idx="7">
                  <c:v>241.29</c:v>
                </c:pt>
                <c:pt idx="8">
                  <c:v>246.64</c:v>
                </c:pt>
                <c:pt idx="9">
                  <c:v>248.56</c:v>
                </c:pt>
                <c:pt idx="10">
                  <c:v>252.53</c:v>
                </c:pt>
                <c:pt idx="11">
                  <c:v>262.94</c:v>
                </c:pt>
                <c:pt idx="12">
                  <c:v>268.41000000000003</c:v>
                </c:pt>
                <c:pt idx="13">
                  <c:v>272.72000000000003</c:v>
                </c:pt>
                <c:pt idx="14">
                  <c:v>276.43</c:v>
                </c:pt>
                <c:pt idx="15">
                  <c:v>277.58</c:v>
                </c:pt>
                <c:pt idx="16">
                  <c:v>278.48</c:v>
                </c:pt>
                <c:pt idx="17">
                  <c:v>279.93</c:v>
                </c:pt>
                <c:pt idx="18">
                  <c:v>283.86</c:v>
                </c:pt>
                <c:pt idx="19">
                  <c:v>285.18</c:v>
                </c:pt>
                <c:pt idx="20">
                  <c:v>287.02999999999997</c:v>
                </c:pt>
                <c:pt idx="21">
                  <c:v>287.07</c:v>
                </c:pt>
                <c:pt idx="22">
                  <c:v>288.61</c:v>
                </c:pt>
                <c:pt idx="23">
                  <c:v>291.74</c:v>
                </c:pt>
                <c:pt idx="24">
                  <c:v>291.33</c:v>
                </c:pt>
                <c:pt idx="25">
                  <c:v>291.36</c:v>
                </c:pt>
                <c:pt idx="26">
                  <c:v>294.16000000000003</c:v>
                </c:pt>
                <c:pt idx="27">
                  <c:v>292.83</c:v>
                </c:pt>
                <c:pt idx="28">
                  <c:v>291.61</c:v>
                </c:pt>
                <c:pt idx="29">
                  <c:v>292.14</c:v>
                </c:pt>
                <c:pt idx="30">
                  <c:v>295.11</c:v>
                </c:pt>
                <c:pt idx="31">
                  <c:v>296.93</c:v>
                </c:pt>
                <c:pt idx="32">
                  <c:v>304.49</c:v>
                </c:pt>
                <c:pt idx="33">
                  <c:v>305.27</c:v>
                </c:pt>
                <c:pt idx="34">
                  <c:v>307.93</c:v>
                </c:pt>
                <c:pt idx="35">
                  <c:v>307.02999999999997</c:v>
                </c:pt>
                <c:pt idx="36">
                  <c:v>305.67</c:v>
                </c:pt>
                <c:pt idx="37">
                  <c:v>303.49</c:v>
                </c:pt>
                <c:pt idx="38">
                  <c:v>298.14999999999998</c:v>
                </c:pt>
                <c:pt idx="39">
                  <c:v>300.02999999999997</c:v>
                </c:pt>
                <c:pt idx="40">
                  <c:v>299.35000000000002</c:v>
                </c:pt>
                <c:pt idx="41">
                  <c:v>293.58999999999997</c:v>
                </c:pt>
                <c:pt idx="42">
                  <c:v>286.86</c:v>
                </c:pt>
                <c:pt idx="43">
                  <c:v>279.43</c:v>
                </c:pt>
                <c:pt idx="44">
                  <c:v>271.89999999999998</c:v>
                </c:pt>
                <c:pt idx="45">
                  <c:v>264.92</c:v>
                </c:pt>
                <c:pt idx="46">
                  <c:v>259.13</c:v>
                </c:pt>
                <c:pt idx="47">
                  <c:v>254.44</c:v>
                </c:pt>
                <c:pt idx="48">
                  <c:v>251.22</c:v>
                </c:pt>
                <c:pt idx="49">
                  <c:v>243.54</c:v>
                </c:pt>
                <c:pt idx="50">
                  <c:v>233.79</c:v>
                </c:pt>
                <c:pt idx="51">
                  <c:v>226.83</c:v>
                </c:pt>
                <c:pt idx="52">
                  <c:v>225.55</c:v>
                </c:pt>
                <c:pt idx="53">
                  <c:v>220.7</c:v>
                </c:pt>
                <c:pt idx="54">
                  <c:v>216.4</c:v>
                </c:pt>
                <c:pt idx="55">
                  <c:v>212.05</c:v>
                </c:pt>
                <c:pt idx="56">
                  <c:v>209.85</c:v>
                </c:pt>
                <c:pt idx="57">
                  <c:v>204.12</c:v>
                </c:pt>
                <c:pt idx="58">
                  <c:v>198.05</c:v>
                </c:pt>
                <c:pt idx="59">
                  <c:v>193.87</c:v>
                </c:pt>
                <c:pt idx="60">
                  <c:v>194.04</c:v>
                </c:pt>
                <c:pt idx="61">
                  <c:v>189.64</c:v>
                </c:pt>
                <c:pt idx="62">
                  <c:v>184.11</c:v>
                </c:pt>
                <c:pt idx="63">
                  <c:v>183.52</c:v>
                </c:pt>
                <c:pt idx="64">
                  <c:v>180.46</c:v>
                </c:pt>
                <c:pt idx="65">
                  <c:v>175.72</c:v>
                </c:pt>
                <c:pt idx="66">
                  <c:v>170.93</c:v>
                </c:pt>
                <c:pt idx="67">
                  <c:v>167.89</c:v>
                </c:pt>
                <c:pt idx="68">
                  <c:v>164.78</c:v>
                </c:pt>
                <c:pt idx="69">
                  <c:v>164.22</c:v>
                </c:pt>
                <c:pt idx="70">
                  <c:v>162.56</c:v>
                </c:pt>
                <c:pt idx="71">
                  <c:v>161.63</c:v>
                </c:pt>
                <c:pt idx="72">
                  <c:v>160.44</c:v>
                </c:pt>
                <c:pt idx="73">
                  <c:v>158.93</c:v>
                </c:pt>
                <c:pt idx="74">
                  <c:v>158.26</c:v>
                </c:pt>
                <c:pt idx="75">
                  <c:v>157.77000000000001</c:v>
                </c:pt>
                <c:pt idx="76">
                  <c:v>156.69999999999999</c:v>
                </c:pt>
                <c:pt idx="77">
                  <c:v>155.96</c:v>
                </c:pt>
                <c:pt idx="78">
                  <c:v>154.83000000000001</c:v>
                </c:pt>
                <c:pt idx="79">
                  <c:v>154.29</c:v>
                </c:pt>
                <c:pt idx="80">
                  <c:v>153.32</c:v>
                </c:pt>
                <c:pt idx="81">
                  <c:v>154.18</c:v>
                </c:pt>
                <c:pt idx="82">
                  <c:v>154.24</c:v>
                </c:pt>
                <c:pt idx="83">
                  <c:v>160.1</c:v>
                </c:pt>
                <c:pt idx="84">
                  <c:v>164.24</c:v>
                </c:pt>
                <c:pt idx="85">
                  <c:v>164.52</c:v>
                </c:pt>
                <c:pt idx="86">
                  <c:v>163.59</c:v>
                </c:pt>
                <c:pt idx="87">
                  <c:v>164.44</c:v>
                </c:pt>
                <c:pt idx="88">
                  <c:v>163.59</c:v>
                </c:pt>
                <c:pt idx="89">
                  <c:v>162.31</c:v>
                </c:pt>
                <c:pt idx="90">
                  <c:v>161.35</c:v>
                </c:pt>
                <c:pt idx="91">
                  <c:v>161.29</c:v>
                </c:pt>
                <c:pt idx="92">
                  <c:v>161.58000000000001</c:v>
                </c:pt>
                <c:pt idx="93">
                  <c:v>162.65</c:v>
                </c:pt>
                <c:pt idx="94">
                  <c:v>161.04</c:v>
                </c:pt>
                <c:pt idx="95">
                  <c:v>160.71</c:v>
                </c:pt>
                <c:pt idx="96">
                  <c:v>161.06</c:v>
                </c:pt>
                <c:pt idx="97">
                  <c:v>159.72999999999999</c:v>
                </c:pt>
                <c:pt idx="98">
                  <c:v>159.22999999999999</c:v>
                </c:pt>
                <c:pt idx="99">
                  <c:v>160</c:v>
                </c:pt>
                <c:pt idx="100">
                  <c:v>160.13999999999999</c:v>
                </c:pt>
                <c:pt idx="101">
                  <c:v>160.13</c:v>
                </c:pt>
                <c:pt idx="102">
                  <c:v>159.69</c:v>
                </c:pt>
                <c:pt idx="103">
                  <c:v>160.09</c:v>
                </c:pt>
                <c:pt idx="104">
                  <c:v>159.28</c:v>
                </c:pt>
                <c:pt idx="105">
                  <c:v>160.18</c:v>
                </c:pt>
                <c:pt idx="106">
                  <c:v>159</c:v>
                </c:pt>
                <c:pt idx="107">
                  <c:v>160</c:v>
                </c:pt>
                <c:pt idx="108">
                  <c:v>158.86000000000001</c:v>
                </c:pt>
                <c:pt idx="109">
                  <c:v>158.78</c:v>
                </c:pt>
                <c:pt idx="110">
                  <c:v>159.1</c:v>
                </c:pt>
                <c:pt idx="111">
                  <c:v>158.38999999999999</c:v>
                </c:pt>
                <c:pt idx="112">
                  <c:v>157.30000000000001</c:v>
                </c:pt>
                <c:pt idx="113">
                  <c:v>156.87</c:v>
                </c:pt>
                <c:pt idx="114">
                  <c:v>156.52000000000001</c:v>
                </c:pt>
                <c:pt idx="115">
                  <c:v>155.78</c:v>
                </c:pt>
                <c:pt idx="116">
                  <c:v>154.56</c:v>
                </c:pt>
                <c:pt idx="117">
                  <c:v>156.24</c:v>
                </c:pt>
                <c:pt idx="118">
                  <c:v>158.38999999999999</c:v>
                </c:pt>
                <c:pt idx="119">
                  <c:v>165.71</c:v>
                </c:pt>
                <c:pt idx="120">
                  <c:v>166.68</c:v>
                </c:pt>
                <c:pt idx="121">
                  <c:v>166.89</c:v>
                </c:pt>
                <c:pt idx="122">
                  <c:v>166.54</c:v>
                </c:pt>
                <c:pt idx="123">
                  <c:v>168.78</c:v>
                </c:pt>
                <c:pt idx="124">
                  <c:v>169.79</c:v>
                </c:pt>
                <c:pt idx="125">
                  <c:v>172.82</c:v>
                </c:pt>
                <c:pt idx="126">
                  <c:v>180.14</c:v>
                </c:pt>
                <c:pt idx="127">
                  <c:v>182.91</c:v>
                </c:pt>
                <c:pt idx="128">
                  <c:v>185.18</c:v>
                </c:pt>
                <c:pt idx="129">
                  <c:v>188.53</c:v>
                </c:pt>
                <c:pt idx="130">
                  <c:v>194.41</c:v>
                </c:pt>
                <c:pt idx="131">
                  <c:v>199.06</c:v>
                </c:pt>
                <c:pt idx="132">
                  <c:v>201.06</c:v>
                </c:pt>
                <c:pt idx="133">
                  <c:v>206.45</c:v>
                </c:pt>
                <c:pt idx="134">
                  <c:v>209.3</c:v>
                </c:pt>
                <c:pt idx="135">
                  <c:v>212.01</c:v>
                </c:pt>
                <c:pt idx="136">
                  <c:v>215.29</c:v>
                </c:pt>
                <c:pt idx="137">
                  <c:v>218.72</c:v>
                </c:pt>
                <c:pt idx="138">
                  <c:v>221.99</c:v>
                </c:pt>
                <c:pt idx="139">
                  <c:v>224.6</c:v>
                </c:pt>
                <c:pt idx="140">
                  <c:v>228.45</c:v>
                </c:pt>
                <c:pt idx="141">
                  <c:v>231.68</c:v>
                </c:pt>
                <c:pt idx="142">
                  <c:v>235.41</c:v>
                </c:pt>
                <c:pt idx="143">
                  <c:v>237.77</c:v>
                </c:pt>
                <c:pt idx="144">
                  <c:v>240.34</c:v>
                </c:pt>
                <c:pt idx="145">
                  <c:v>243.03</c:v>
                </c:pt>
                <c:pt idx="146">
                  <c:v>243.64</c:v>
                </c:pt>
                <c:pt idx="147">
                  <c:v>246.32</c:v>
                </c:pt>
                <c:pt idx="148">
                  <c:v>247.11</c:v>
                </c:pt>
                <c:pt idx="149">
                  <c:v>248.41</c:v>
                </c:pt>
                <c:pt idx="150">
                  <c:v>251.89</c:v>
                </c:pt>
                <c:pt idx="151">
                  <c:v>249.16</c:v>
                </c:pt>
                <c:pt idx="152">
                  <c:v>250.37</c:v>
                </c:pt>
                <c:pt idx="153">
                  <c:v>252.35</c:v>
                </c:pt>
                <c:pt idx="154">
                  <c:v>254.32</c:v>
                </c:pt>
                <c:pt idx="155">
                  <c:v>255.77</c:v>
                </c:pt>
                <c:pt idx="156">
                  <c:v>258.62</c:v>
                </c:pt>
                <c:pt idx="157">
                  <c:v>261.86</c:v>
                </c:pt>
                <c:pt idx="158">
                  <c:v>263.79000000000002</c:v>
                </c:pt>
                <c:pt idx="159">
                  <c:v>260.45999999999998</c:v>
                </c:pt>
                <c:pt idx="160">
                  <c:v>257.16000000000003</c:v>
                </c:pt>
                <c:pt idx="161">
                  <c:v>247.87</c:v>
                </c:pt>
                <c:pt idx="162">
                  <c:v>246.42</c:v>
                </c:pt>
                <c:pt idx="163">
                  <c:v>248</c:v>
                </c:pt>
                <c:pt idx="164">
                  <c:v>247.53</c:v>
                </c:pt>
                <c:pt idx="165">
                  <c:v>252</c:v>
                </c:pt>
                <c:pt idx="166">
                  <c:v>256.39</c:v>
                </c:pt>
                <c:pt idx="167">
                  <c:v>259.77</c:v>
                </c:pt>
                <c:pt idx="168">
                  <c:v>261.77</c:v>
                </c:pt>
                <c:pt idx="169">
                  <c:v>262.72000000000003</c:v>
                </c:pt>
                <c:pt idx="170">
                  <c:v>264.07</c:v>
                </c:pt>
                <c:pt idx="171">
                  <c:v>265.22000000000003</c:v>
                </c:pt>
                <c:pt idx="172">
                  <c:v>263.17</c:v>
                </c:pt>
                <c:pt idx="173">
                  <c:v>266.14</c:v>
                </c:pt>
                <c:pt idx="174">
                  <c:v>266.89</c:v>
                </c:pt>
                <c:pt idx="175">
                  <c:v>266.98</c:v>
                </c:pt>
                <c:pt idx="176">
                  <c:v>267.49</c:v>
                </c:pt>
                <c:pt idx="177">
                  <c:v>267.64999999999998</c:v>
                </c:pt>
                <c:pt idx="178">
                  <c:v>264.27</c:v>
                </c:pt>
                <c:pt idx="179">
                  <c:v>264.33999999999997</c:v>
                </c:pt>
                <c:pt idx="180">
                  <c:v>265.72000000000003</c:v>
                </c:pt>
                <c:pt idx="181">
                  <c:v>265.83</c:v>
                </c:pt>
                <c:pt idx="182">
                  <c:v>261.52999999999997</c:v>
                </c:pt>
                <c:pt idx="183">
                  <c:v>254.5</c:v>
                </c:pt>
                <c:pt idx="184">
                  <c:v>255.57</c:v>
                </c:pt>
                <c:pt idx="185">
                  <c:v>249.61</c:v>
                </c:pt>
                <c:pt idx="186">
                  <c:v>246.43</c:v>
                </c:pt>
                <c:pt idx="187">
                  <c:v>241.17</c:v>
                </c:pt>
                <c:pt idx="188">
                  <c:v>239.46</c:v>
                </c:pt>
                <c:pt idx="189">
                  <c:v>235.94</c:v>
                </c:pt>
                <c:pt idx="190">
                  <c:v>233.37</c:v>
                </c:pt>
                <c:pt idx="191">
                  <c:v>231.36</c:v>
                </c:pt>
                <c:pt idx="192">
                  <c:v>226.93</c:v>
                </c:pt>
                <c:pt idx="193">
                  <c:v>224.48</c:v>
                </c:pt>
                <c:pt idx="194">
                  <c:v>221.71</c:v>
                </c:pt>
                <c:pt idx="195">
                  <c:v>218.31</c:v>
                </c:pt>
                <c:pt idx="196">
                  <c:v>217.67</c:v>
                </c:pt>
                <c:pt idx="197">
                  <c:v>201.78</c:v>
                </c:pt>
                <c:pt idx="198">
                  <c:v>209.94</c:v>
                </c:pt>
                <c:pt idx="199">
                  <c:v>208.71</c:v>
                </c:pt>
                <c:pt idx="200">
                  <c:v>202.86</c:v>
                </c:pt>
                <c:pt idx="201">
                  <c:v>202.53</c:v>
                </c:pt>
                <c:pt idx="202">
                  <c:v>198.86</c:v>
                </c:pt>
                <c:pt idx="203">
                  <c:v>194.65</c:v>
                </c:pt>
                <c:pt idx="204">
                  <c:v>190.05</c:v>
                </c:pt>
                <c:pt idx="205">
                  <c:v>184.5</c:v>
                </c:pt>
                <c:pt idx="206">
                  <c:v>180.53</c:v>
                </c:pt>
                <c:pt idx="207">
                  <c:v>177.56</c:v>
                </c:pt>
                <c:pt idx="208">
                  <c:v>175.77</c:v>
                </c:pt>
                <c:pt idx="209">
                  <c:v>174.59</c:v>
                </c:pt>
                <c:pt idx="210">
                  <c:v>172.9</c:v>
                </c:pt>
                <c:pt idx="211">
                  <c:v>172.48</c:v>
                </c:pt>
                <c:pt idx="212">
                  <c:v>170.29</c:v>
                </c:pt>
                <c:pt idx="213">
                  <c:v>168.14</c:v>
                </c:pt>
                <c:pt idx="214">
                  <c:v>166.93</c:v>
                </c:pt>
                <c:pt idx="215">
                  <c:v>167.04</c:v>
                </c:pt>
                <c:pt idx="216">
                  <c:v>166.66</c:v>
                </c:pt>
                <c:pt idx="217">
                  <c:v>168.79</c:v>
                </c:pt>
                <c:pt idx="218">
                  <c:v>167.92</c:v>
                </c:pt>
                <c:pt idx="219">
                  <c:v>169.26</c:v>
                </c:pt>
                <c:pt idx="220">
                  <c:v>171.13</c:v>
                </c:pt>
                <c:pt idx="221">
                  <c:v>175.88</c:v>
                </c:pt>
                <c:pt idx="222">
                  <c:v>175.36</c:v>
                </c:pt>
                <c:pt idx="223">
                  <c:v>173.96</c:v>
                </c:pt>
                <c:pt idx="224">
                  <c:v>173.58</c:v>
                </c:pt>
                <c:pt idx="225">
                  <c:v>173.23</c:v>
                </c:pt>
                <c:pt idx="226">
                  <c:v>171.81</c:v>
                </c:pt>
                <c:pt idx="227">
                  <c:v>170.56</c:v>
                </c:pt>
                <c:pt idx="228">
                  <c:v>170.49</c:v>
                </c:pt>
                <c:pt idx="229">
                  <c:v>172.39</c:v>
                </c:pt>
                <c:pt idx="230">
                  <c:v>171.46</c:v>
                </c:pt>
                <c:pt idx="231">
                  <c:v>169.32</c:v>
                </c:pt>
                <c:pt idx="232">
                  <c:v>168.5</c:v>
                </c:pt>
                <c:pt idx="233">
                  <c:v>167.2</c:v>
                </c:pt>
                <c:pt idx="234">
                  <c:v>167.78</c:v>
                </c:pt>
                <c:pt idx="235">
                  <c:v>167.24</c:v>
                </c:pt>
                <c:pt idx="236">
                  <c:v>170.6</c:v>
                </c:pt>
                <c:pt idx="237">
                  <c:v>170.19</c:v>
                </c:pt>
                <c:pt idx="238">
                  <c:v>169.62</c:v>
                </c:pt>
                <c:pt idx="239">
                  <c:v>169.4</c:v>
                </c:pt>
                <c:pt idx="240">
                  <c:v>168.48</c:v>
                </c:pt>
                <c:pt idx="241">
                  <c:v>169.19</c:v>
                </c:pt>
                <c:pt idx="242">
                  <c:v>169.45</c:v>
                </c:pt>
                <c:pt idx="243">
                  <c:v>168.74</c:v>
                </c:pt>
                <c:pt idx="244">
                  <c:v>167.59</c:v>
                </c:pt>
                <c:pt idx="245">
                  <c:v>163.41</c:v>
                </c:pt>
                <c:pt idx="246">
                  <c:v>162.33000000000001</c:v>
                </c:pt>
                <c:pt idx="247">
                  <c:v>160.84</c:v>
                </c:pt>
                <c:pt idx="248">
                  <c:v>160.41</c:v>
                </c:pt>
                <c:pt idx="249">
                  <c:v>159.94</c:v>
                </c:pt>
                <c:pt idx="250">
                  <c:v>160.56</c:v>
                </c:pt>
                <c:pt idx="251">
                  <c:v>160.46</c:v>
                </c:pt>
                <c:pt idx="252">
                  <c:v>162.32</c:v>
                </c:pt>
                <c:pt idx="253">
                  <c:v>164.29</c:v>
                </c:pt>
                <c:pt idx="254">
                  <c:v>166.22</c:v>
                </c:pt>
                <c:pt idx="255">
                  <c:v>167.4</c:v>
                </c:pt>
                <c:pt idx="256">
                  <c:v>167.96</c:v>
                </c:pt>
                <c:pt idx="257">
                  <c:v>166.78</c:v>
                </c:pt>
                <c:pt idx="258">
                  <c:v>167.36</c:v>
                </c:pt>
                <c:pt idx="259">
                  <c:v>166.53</c:v>
                </c:pt>
                <c:pt idx="260">
                  <c:v>170.53</c:v>
                </c:pt>
                <c:pt idx="261">
                  <c:v>172.42</c:v>
                </c:pt>
                <c:pt idx="262">
                  <c:v>173.33</c:v>
                </c:pt>
                <c:pt idx="263">
                  <c:v>175.71</c:v>
                </c:pt>
                <c:pt idx="264">
                  <c:v>177.2</c:v>
                </c:pt>
                <c:pt idx="265">
                  <c:v>176.69</c:v>
                </c:pt>
                <c:pt idx="266">
                  <c:v>178.44</c:v>
                </c:pt>
                <c:pt idx="267">
                  <c:v>179.97</c:v>
                </c:pt>
                <c:pt idx="268">
                  <c:v>181.23</c:v>
                </c:pt>
                <c:pt idx="269">
                  <c:v>181.31</c:v>
                </c:pt>
                <c:pt idx="270">
                  <c:v>183.57</c:v>
                </c:pt>
                <c:pt idx="271">
                  <c:v>184.91</c:v>
                </c:pt>
                <c:pt idx="272">
                  <c:v>186.61</c:v>
                </c:pt>
                <c:pt idx="273">
                  <c:v>189.82</c:v>
                </c:pt>
                <c:pt idx="274">
                  <c:v>191.54</c:v>
                </c:pt>
                <c:pt idx="275">
                  <c:v>194.01</c:v>
                </c:pt>
                <c:pt idx="276">
                  <c:v>196.42</c:v>
                </c:pt>
                <c:pt idx="277">
                  <c:v>199.94</c:v>
                </c:pt>
                <c:pt idx="278">
                  <c:v>205.81</c:v>
                </c:pt>
                <c:pt idx="279">
                  <c:v>209.13</c:v>
                </c:pt>
                <c:pt idx="280">
                  <c:v>210.77</c:v>
                </c:pt>
                <c:pt idx="281">
                  <c:v>214.38</c:v>
                </c:pt>
                <c:pt idx="282">
                  <c:v>219.75</c:v>
                </c:pt>
                <c:pt idx="283">
                  <c:v>222.64</c:v>
                </c:pt>
                <c:pt idx="284">
                  <c:v>225.92</c:v>
                </c:pt>
                <c:pt idx="285">
                  <c:v>229.83</c:v>
                </c:pt>
                <c:pt idx="286">
                  <c:v>231.82</c:v>
                </c:pt>
                <c:pt idx="287">
                  <c:v>234.32</c:v>
                </c:pt>
                <c:pt idx="288">
                  <c:v>239.28</c:v>
                </c:pt>
                <c:pt idx="289">
                  <c:v>240.81</c:v>
                </c:pt>
                <c:pt idx="290">
                  <c:v>242.99</c:v>
                </c:pt>
                <c:pt idx="291">
                  <c:v>242.23</c:v>
                </c:pt>
                <c:pt idx="292">
                  <c:v>243.61</c:v>
                </c:pt>
                <c:pt idx="293">
                  <c:v>245.1</c:v>
                </c:pt>
                <c:pt idx="294">
                  <c:v>244.15</c:v>
                </c:pt>
                <c:pt idx="295">
                  <c:v>240.41</c:v>
                </c:pt>
                <c:pt idx="296">
                  <c:v>241.61</c:v>
                </c:pt>
                <c:pt idx="297">
                  <c:v>275.3</c:v>
                </c:pt>
                <c:pt idx="298">
                  <c:v>249.11</c:v>
                </c:pt>
                <c:pt idx="299">
                  <c:v>241.78</c:v>
                </c:pt>
                <c:pt idx="300">
                  <c:v>234.71</c:v>
                </c:pt>
                <c:pt idx="301">
                  <c:v>229.21</c:v>
                </c:pt>
                <c:pt idx="302">
                  <c:v>223.28</c:v>
                </c:pt>
              </c:numCache>
            </c:numRef>
          </c:yVal>
          <c:smooth val="0"/>
          <c:extLst>
            <c:ext xmlns:c16="http://schemas.microsoft.com/office/drawing/2014/chart" uri="{C3380CC4-5D6E-409C-BE32-E72D297353CC}">
              <c16:uniqueId val="{00000001-1179-414B-8CB5-ED5057F8EB40}"/>
            </c:ext>
          </c:extLst>
        </c:ser>
        <c:ser>
          <c:idx val="0"/>
          <c:order val="2"/>
          <c:tx>
            <c:v>Winkler</c:v>
          </c:tx>
          <c:spPr>
            <a:ln w="47625">
              <a:noFill/>
            </a:ln>
            <a:effectLst/>
          </c:spPr>
          <c:marker>
            <c:symbol val="circle"/>
            <c:size val="9"/>
            <c:spPr>
              <a:solidFill>
                <a:srgbClr val="FF6600"/>
              </a:solidFill>
              <a:effectLst/>
            </c:spPr>
          </c:marker>
          <c:xVal>
            <c:numRef>
              <c:f>'[1]O2 concentrations'!$F$2:$F$31</c:f>
              <c:numCache>
                <c:formatCode>General</c:formatCode>
                <c:ptCount val="30"/>
                <c:pt idx="0">
                  <c:v>319.66666666666669</c:v>
                </c:pt>
                <c:pt idx="1">
                  <c:v>319.66666666666669</c:v>
                </c:pt>
                <c:pt idx="2">
                  <c:v>319.75</c:v>
                </c:pt>
                <c:pt idx="3">
                  <c:v>319.75</c:v>
                </c:pt>
                <c:pt idx="4">
                  <c:v>319.83333333333337</c:v>
                </c:pt>
                <c:pt idx="5">
                  <c:v>319.83333333333337</c:v>
                </c:pt>
                <c:pt idx="6">
                  <c:v>319.91666666666669</c:v>
                </c:pt>
                <c:pt idx="7">
                  <c:v>319.91666666666669</c:v>
                </c:pt>
                <c:pt idx="8">
                  <c:v>320</c:v>
                </c:pt>
                <c:pt idx="9">
                  <c:v>320</c:v>
                </c:pt>
                <c:pt idx="10">
                  <c:v>320.08333333333337</c:v>
                </c:pt>
                <c:pt idx="11">
                  <c:v>320.08333333333337</c:v>
                </c:pt>
                <c:pt idx="12">
                  <c:v>320.16666666666669</c:v>
                </c:pt>
                <c:pt idx="13">
                  <c:v>320.16666666666669</c:v>
                </c:pt>
                <c:pt idx="14">
                  <c:v>320.25</c:v>
                </c:pt>
                <c:pt idx="15">
                  <c:v>320.25</c:v>
                </c:pt>
                <c:pt idx="16">
                  <c:v>320.33333333333337</c:v>
                </c:pt>
                <c:pt idx="17">
                  <c:v>320.33333333333337</c:v>
                </c:pt>
                <c:pt idx="18">
                  <c:v>320.41666666666669</c:v>
                </c:pt>
                <c:pt idx="19">
                  <c:v>320.41666666666669</c:v>
                </c:pt>
                <c:pt idx="20">
                  <c:v>320.5</c:v>
                </c:pt>
                <c:pt idx="21">
                  <c:v>320.5</c:v>
                </c:pt>
                <c:pt idx="22">
                  <c:v>320.58333333333337</c:v>
                </c:pt>
                <c:pt idx="23">
                  <c:v>320.58333333333337</c:v>
                </c:pt>
                <c:pt idx="24">
                  <c:v>320.66666666666669</c:v>
                </c:pt>
                <c:pt idx="25">
                  <c:v>320.66666666666669</c:v>
                </c:pt>
                <c:pt idx="26">
                  <c:v>320.75</c:v>
                </c:pt>
                <c:pt idx="27">
                  <c:v>320.75</c:v>
                </c:pt>
                <c:pt idx="28">
                  <c:v>320.83333333333337</c:v>
                </c:pt>
                <c:pt idx="29">
                  <c:v>320.83333333333337</c:v>
                </c:pt>
              </c:numCache>
            </c:numRef>
          </c:xVal>
          <c:yVal>
            <c:numRef>
              <c:f>'[1]O2 concentrations'!$P$2:$P$31</c:f>
              <c:numCache>
                <c:formatCode>General</c:formatCode>
                <c:ptCount val="30"/>
                <c:pt idx="1">
                  <c:v>171.88837186545976</c:v>
                </c:pt>
                <c:pt idx="3">
                  <c:v>206.95567125015953</c:v>
                </c:pt>
                <c:pt idx="5">
                  <c:v>243.24840808759404</c:v>
                </c:pt>
                <c:pt idx="7">
                  <c:v>263.02673532149214</c:v>
                </c:pt>
                <c:pt idx="9">
                  <c:v>265.34883338614594</c:v>
                </c:pt>
                <c:pt idx="11">
                  <c:v>265.47538289176748</c:v>
                </c:pt>
                <c:pt idx="13">
                  <c:v>225.89290360594362</c:v>
                </c:pt>
                <c:pt idx="15">
                  <c:v>184.68222247434522</c:v>
                </c:pt>
                <c:pt idx="17">
                  <c:v>168.90889440840181</c:v>
                </c:pt>
                <c:pt idx="19">
                  <c:v>176.48288362003416</c:v>
                </c:pt>
                <c:pt idx="21">
                  <c:v>182.29622443155139</c:v>
                </c:pt>
                <c:pt idx="23">
                  <c:v>167.10999502018819</c:v>
                </c:pt>
                <c:pt idx="25">
                  <c:v>195.92085218517764</c:v>
                </c:pt>
                <c:pt idx="27">
                  <c:v>203.67025775402141</c:v>
                </c:pt>
                <c:pt idx="29">
                  <c:v>243.05409374959419</c:v>
                </c:pt>
              </c:numCache>
            </c:numRef>
          </c:yVal>
          <c:smooth val="0"/>
          <c:extLst>
            <c:ext xmlns:c16="http://schemas.microsoft.com/office/drawing/2014/chart" uri="{C3380CC4-5D6E-409C-BE32-E72D297353CC}">
              <c16:uniqueId val="{00000002-1179-414B-8CB5-ED5057F8EB40}"/>
            </c:ext>
          </c:extLst>
        </c:ser>
        <c:ser>
          <c:idx val="2"/>
          <c:order val="3"/>
          <c:tx>
            <c:v>hand held</c:v>
          </c:tx>
          <c:spPr>
            <a:ln w="47625">
              <a:noFill/>
            </a:ln>
            <a:effectLst/>
          </c:spPr>
          <c:marker>
            <c:symbol val="diamond"/>
            <c:size val="11"/>
            <c:spPr>
              <a:solidFill>
                <a:srgbClr val="3366FF"/>
              </a:solidFill>
              <a:effectLst/>
            </c:spPr>
          </c:marker>
          <c:xVal>
            <c:numRef>
              <c:f>'[1]hand held O2'!$G$3:$G$16</c:f>
              <c:numCache>
                <c:formatCode>General</c:formatCode>
                <c:ptCount val="14"/>
                <c:pt idx="0">
                  <c:v>319.75</c:v>
                </c:pt>
                <c:pt idx="1">
                  <c:v>319.83333333333337</c:v>
                </c:pt>
                <c:pt idx="2">
                  <c:v>319.91666666666669</c:v>
                </c:pt>
                <c:pt idx="3">
                  <c:v>320</c:v>
                </c:pt>
                <c:pt idx="4">
                  <c:v>320.08333333333337</c:v>
                </c:pt>
                <c:pt idx="5">
                  <c:v>320.16666666666669</c:v>
                </c:pt>
                <c:pt idx="6">
                  <c:v>320.25</c:v>
                </c:pt>
                <c:pt idx="7">
                  <c:v>320.33333333333337</c:v>
                </c:pt>
                <c:pt idx="8">
                  <c:v>320.41666666666669</c:v>
                </c:pt>
                <c:pt idx="9">
                  <c:v>320.5</c:v>
                </c:pt>
                <c:pt idx="10">
                  <c:v>320.58333333333337</c:v>
                </c:pt>
                <c:pt idx="11">
                  <c:v>320.66666666666669</c:v>
                </c:pt>
                <c:pt idx="12">
                  <c:v>320.75</c:v>
                </c:pt>
                <c:pt idx="13">
                  <c:v>320.83333333333337</c:v>
                </c:pt>
              </c:numCache>
            </c:numRef>
          </c:xVal>
          <c:yVal>
            <c:numRef>
              <c:f>'[1]hand held O2'!$J$3:$J$16</c:f>
              <c:numCache>
                <c:formatCode>General</c:formatCode>
                <c:ptCount val="14"/>
                <c:pt idx="0">
                  <c:v>200.9375</c:v>
                </c:pt>
                <c:pt idx="1">
                  <c:v>239.99999999999997</c:v>
                </c:pt>
                <c:pt idx="2">
                  <c:v>256.875</c:v>
                </c:pt>
                <c:pt idx="3">
                  <c:v>259.6875</c:v>
                </c:pt>
                <c:pt idx="4">
                  <c:v>263.75</c:v>
                </c:pt>
                <c:pt idx="5">
                  <c:v>228.75</c:v>
                </c:pt>
                <c:pt idx="6">
                  <c:v>192.8125</c:v>
                </c:pt>
                <c:pt idx="7">
                  <c:v>170.625</c:v>
                </c:pt>
                <c:pt idx="8">
                  <c:v>174.375</c:v>
                </c:pt>
                <c:pt idx="9">
                  <c:v>172.5</c:v>
                </c:pt>
                <c:pt idx="10">
                  <c:v>161.875</c:v>
                </c:pt>
                <c:pt idx="11">
                  <c:v>178.4375</c:v>
                </c:pt>
                <c:pt idx="12">
                  <c:v>197.5</c:v>
                </c:pt>
                <c:pt idx="13">
                  <c:v>237.5</c:v>
                </c:pt>
              </c:numCache>
            </c:numRef>
          </c:yVal>
          <c:smooth val="0"/>
          <c:extLst>
            <c:ext xmlns:c16="http://schemas.microsoft.com/office/drawing/2014/chart" uri="{C3380CC4-5D6E-409C-BE32-E72D297353CC}">
              <c16:uniqueId val="{00000003-1179-414B-8CB5-ED5057F8EB40}"/>
            </c:ext>
          </c:extLst>
        </c:ser>
        <c:dLbls>
          <c:showLegendKey val="0"/>
          <c:showVal val="0"/>
          <c:showCatName val="0"/>
          <c:showSerName val="0"/>
          <c:showPercent val="0"/>
          <c:showBubbleSize val="0"/>
        </c:dLbls>
        <c:axId val="2145287640"/>
        <c:axId val="2144620472"/>
      </c:scatterChart>
      <c:valAx>
        <c:axId val="2145287640"/>
        <c:scaling>
          <c:orientation val="minMax"/>
          <c:max val="320.8"/>
          <c:min val="319.5"/>
        </c:scaling>
        <c:delete val="0"/>
        <c:axPos val="b"/>
        <c:title>
          <c:tx>
            <c:rich>
              <a:bodyPr/>
              <a:lstStyle/>
              <a:p>
                <a:pPr>
                  <a:defRPr/>
                </a:pPr>
                <a:r>
                  <a:rPr lang="en-US"/>
                  <a:t>Julian Day (GMT)</a:t>
                </a:r>
              </a:p>
            </c:rich>
          </c:tx>
          <c:overlay val="0"/>
        </c:title>
        <c:numFmt formatCode="0.0" sourceLinked="0"/>
        <c:majorTickMark val="out"/>
        <c:minorTickMark val="none"/>
        <c:tickLblPos val="nextTo"/>
        <c:crossAx val="2144620472"/>
        <c:crosses val="autoZero"/>
        <c:crossBetween val="midCat"/>
      </c:valAx>
      <c:valAx>
        <c:axId val="2144620472"/>
        <c:scaling>
          <c:orientation val="minMax"/>
          <c:max val="300"/>
          <c:min val="150"/>
        </c:scaling>
        <c:delete val="0"/>
        <c:axPos val="l"/>
        <c:title>
          <c:tx>
            <c:rich>
              <a:bodyPr rot="-5400000" vert="horz"/>
              <a:lstStyle/>
              <a:p>
                <a:pPr>
                  <a:defRPr/>
                </a:pPr>
                <a:r>
                  <a:rPr lang="en-US"/>
                  <a:t>[O2]  µmol/kg</a:t>
                </a:r>
              </a:p>
            </c:rich>
          </c:tx>
          <c:overlay val="0"/>
        </c:title>
        <c:numFmt formatCode="0" sourceLinked="0"/>
        <c:majorTickMark val="out"/>
        <c:minorTickMark val="none"/>
        <c:tickLblPos val="nextTo"/>
        <c:crossAx val="2145287640"/>
        <c:crosses val="autoZero"/>
        <c:crossBetween val="midCat"/>
      </c:valAx>
    </c:plotArea>
    <c:legend>
      <c:legendPos val="r"/>
      <c:layout>
        <c:manualLayout>
          <c:xMode val="edge"/>
          <c:yMode val="edge"/>
          <c:x val="0.76671578684706598"/>
          <c:y val="4.9199154983675802E-2"/>
          <c:w val="0.15934055118110199"/>
          <c:h val="0.24306510466679501"/>
        </c:manualLayout>
      </c:layout>
      <c:overlay val="1"/>
    </c:legend>
    <c:plotVisOnly val="1"/>
    <c:dispBlanksAs val="gap"/>
    <c:showDLblsOverMax val="0"/>
  </c:chart>
  <c:txPr>
    <a:bodyPr/>
    <a:lstStyle/>
    <a:p>
      <a:pPr>
        <a:defRPr sz="1400"/>
      </a:pPr>
      <a:endParaRPr lang="en-US"/>
    </a:p>
  </c:txPr>
  <c:printSettings>
    <c:headerFooter/>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25400" cap="rnd">
              <a:noFill/>
              <a:round/>
            </a:ln>
            <a:effectLst/>
          </c:spPr>
          <c:marker>
            <c:symbol val="circle"/>
            <c:size val="8"/>
            <c:spPr>
              <a:solidFill>
                <a:srgbClr val="00B0F0"/>
              </a:solidFill>
              <a:ln w="9525">
                <a:noFill/>
              </a:ln>
              <a:effectLst/>
            </c:spPr>
          </c:marker>
          <c:errBars>
            <c:errDir val="y"/>
            <c:errBarType val="both"/>
            <c:errValType val="fixedVal"/>
            <c:noEndCap val="0"/>
            <c:val val="4.3"/>
            <c:spPr>
              <a:noFill/>
              <a:ln w="9525" cap="flat" cmpd="sng" algn="ctr">
                <a:solidFill>
                  <a:schemeClr val="tx1">
                    <a:lumMod val="65000"/>
                    <a:lumOff val="35000"/>
                  </a:schemeClr>
                </a:solidFill>
                <a:round/>
              </a:ln>
              <a:effectLst/>
            </c:spPr>
          </c:errBars>
          <c:xVal>
            <c:numRef>
              <c:f>'All Experimental Diel Data'!$A$19:$A$31</c:f>
              <c:numCache>
                <c:formatCode>h:mm;@</c:formatCode>
                <c:ptCount val="13"/>
                <c:pt idx="0">
                  <c:v>42323.25</c:v>
                </c:pt>
                <c:pt idx="1">
                  <c:v>42323.333333333336</c:v>
                </c:pt>
                <c:pt idx="2">
                  <c:v>42323.416666666664</c:v>
                </c:pt>
                <c:pt idx="3">
                  <c:v>42323.5</c:v>
                </c:pt>
                <c:pt idx="4">
                  <c:v>42323.666666666664</c:v>
                </c:pt>
                <c:pt idx="5">
                  <c:v>42323.75</c:v>
                </c:pt>
                <c:pt idx="6">
                  <c:v>42323.916666666664</c:v>
                </c:pt>
                <c:pt idx="7">
                  <c:v>42324</c:v>
                </c:pt>
                <c:pt idx="8">
                  <c:v>42324.083333333336</c:v>
                </c:pt>
                <c:pt idx="9">
                  <c:v>42324.166666666664</c:v>
                </c:pt>
                <c:pt idx="10">
                  <c:v>42324.25</c:v>
                </c:pt>
                <c:pt idx="11">
                  <c:v>42324.333333333336</c:v>
                </c:pt>
                <c:pt idx="12">
                  <c:v>42324.416666666664</c:v>
                </c:pt>
              </c:numCache>
            </c:numRef>
          </c:xVal>
          <c:yVal>
            <c:numRef>
              <c:f>'All Experimental Diel Data'!$E$19:$E$31</c:f>
              <c:numCache>
                <c:formatCode>0.00</c:formatCode>
                <c:ptCount val="13"/>
                <c:pt idx="0">
                  <c:v>2326.9968749999998</c:v>
                </c:pt>
                <c:pt idx="1">
                  <c:v>2326.3846798993563</c:v>
                </c:pt>
                <c:pt idx="2">
                  <c:v>2302.3859060402688</c:v>
                </c:pt>
                <c:pt idx="3">
                  <c:v>2298.2571188811185</c:v>
                </c:pt>
                <c:pt idx="4">
                  <c:v>2286.6261744966446</c:v>
                </c:pt>
                <c:pt idx="5">
                  <c:v>2301.4058724832212</c:v>
                </c:pt>
                <c:pt idx="6">
                  <c:v>2330.1319720279721</c:v>
                </c:pt>
                <c:pt idx="7">
                  <c:v>2332.7956363636367</c:v>
                </c:pt>
                <c:pt idx="8">
                  <c:v>2336.9149090909091</c:v>
                </c:pt>
                <c:pt idx="9">
                  <c:v>2336.4594125874128</c:v>
                </c:pt>
                <c:pt idx="10">
                  <c:v>2335.4293228875208</c:v>
                </c:pt>
                <c:pt idx="11">
                  <c:v>2320.8295467263565</c:v>
                </c:pt>
                <c:pt idx="12">
                  <c:v>2300.5047565752657</c:v>
                </c:pt>
              </c:numCache>
            </c:numRef>
          </c:yVal>
          <c:smooth val="0"/>
          <c:extLst>
            <c:ext xmlns:c16="http://schemas.microsoft.com/office/drawing/2014/chart" uri="{C3380CC4-5D6E-409C-BE32-E72D297353CC}">
              <c16:uniqueId val="{00000000-BBCA-DB42-9896-FA656C29657D}"/>
            </c:ext>
          </c:extLst>
        </c:ser>
        <c:dLbls>
          <c:showLegendKey val="0"/>
          <c:showVal val="0"/>
          <c:showCatName val="0"/>
          <c:showSerName val="0"/>
          <c:showPercent val="0"/>
          <c:showBubbleSize val="0"/>
        </c:dLbls>
        <c:axId val="424093136"/>
        <c:axId val="424196800"/>
      </c:scatterChart>
      <c:scatterChart>
        <c:scatterStyle val="lineMarker"/>
        <c:varyColors val="0"/>
        <c:ser>
          <c:idx val="1"/>
          <c:order val="1"/>
          <c:spPr>
            <a:ln w="25400" cap="rnd">
              <a:noFill/>
              <a:round/>
            </a:ln>
            <a:effectLst/>
          </c:spPr>
          <c:marker>
            <c:symbol val="circle"/>
            <c:size val="8"/>
            <c:spPr>
              <a:solidFill>
                <a:schemeClr val="accent2">
                  <a:lumMod val="75000"/>
                </a:schemeClr>
              </a:solidFill>
              <a:ln w="9525">
                <a:solidFill>
                  <a:schemeClr val="accent2"/>
                </a:solidFill>
              </a:ln>
              <a:effectLst/>
            </c:spPr>
          </c:marker>
          <c:errBars>
            <c:errDir val="y"/>
            <c:errBarType val="both"/>
            <c:errValType val="fixedVal"/>
            <c:noEndCap val="0"/>
            <c:val val="3.7"/>
            <c:spPr>
              <a:noFill/>
              <a:ln w="9525" cap="flat" cmpd="sng" algn="ctr">
                <a:solidFill>
                  <a:schemeClr val="tx1">
                    <a:lumMod val="65000"/>
                    <a:lumOff val="35000"/>
                  </a:schemeClr>
                </a:solidFill>
                <a:round/>
              </a:ln>
              <a:effectLst/>
            </c:spPr>
          </c:errBars>
          <c:xVal>
            <c:numRef>
              <c:f>'All Experimental Diel Data'!$A$19:$A$31</c:f>
              <c:numCache>
                <c:formatCode>h:mm;@</c:formatCode>
                <c:ptCount val="13"/>
                <c:pt idx="0">
                  <c:v>42323.25</c:v>
                </c:pt>
                <c:pt idx="1">
                  <c:v>42323.333333333336</c:v>
                </c:pt>
                <c:pt idx="2">
                  <c:v>42323.416666666664</c:v>
                </c:pt>
                <c:pt idx="3">
                  <c:v>42323.5</c:v>
                </c:pt>
                <c:pt idx="4">
                  <c:v>42323.666666666664</c:v>
                </c:pt>
                <c:pt idx="5">
                  <c:v>42323.75</c:v>
                </c:pt>
                <c:pt idx="6">
                  <c:v>42323.916666666664</c:v>
                </c:pt>
                <c:pt idx="7">
                  <c:v>42324</c:v>
                </c:pt>
                <c:pt idx="8">
                  <c:v>42324.083333333336</c:v>
                </c:pt>
                <c:pt idx="9">
                  <c:v>42324.166666666664</c:v>
                </c:pt>
                <c:pt idx="10">
                  <c:v>42324.25</c:v>
                </c:pt>
                <c:pt idx="11">
                  <c:v>42324.333333333336</c:v>
                </c:pt>
                <c:pt idx="12">
                  <c:v>42324.416666666664</c:v>
                </c:pt>
              </c:numCache>
            </c:numRef>
          </c:xVal>
          <c:yVal>
            <c:numRef>
              <c:f>'All Experimental Diel Data'!$H$19:$H$31</c:f>
              <c:numCache>
                <c:formatCode>0.00</c:formatCode>
                <c:ptCount val="13"/>
                <c:pt idx="0">
                  <c:v>2087.0887834821428</c:v>
                </c:pt>
                <c:pt idx="1">
                  <c:v>2036.9003634330443</c:v>
                </c:pt>
                <c:pt idx="2">
                  <c:v>1980.4795302013422</c:v>
                </c:pt>
                <c:pt idx="3">
                  <c:v>1952.6342937062936</c:v>
                </c:pt>
                <c:pt idx="4">
                  <c:v>1930.7255033557046</c:v>
                </c:pt>
                <c:pt idx="5">
                  <c:v>1971.0355704697986</c:v>
                </c:pt>
                <c:pt idx="6">
                  <c:v>2069.7959160839164</c:v>
                </c:pt>
                <c:pt idx="7">
                  <c:v>2075.2420699300701</c:v>
                </c:pt>
                <c:pt idx="8">
                  <c:v>2084.1440559440557</c:v>
                </c:pt>
                <c:pt idx="9">
                  <c:v>2095.4225454545453</c:v>
                </c:pt>
                <c:pt idx="10">
                  <c:v>2072.8512590934529</c:v>
                </c:pt>
                <c:pt idx="11">
                  <c:v>2045.1176273083379</c:v>
                </c:pt>
                <c:pt idx="12">
                  <c:v>1979.6563514269726</c:v>
                </c:pt>
              </c:numCache>
            </c:numRef>
          </c:yVal>
          <c:smooth val="0"/>
          <c:extLst>
            <c:ext xmlns:c16="http://schemas.microsoft.com/office/drawing/2014/chart" uri="{C3380CC4-5D6E-409C-BE32-E72D297353CC}">
              <c16:uniqueId val="{00000001-BBCA-DB42-9896-FA656C29657D}"/>
            </c:ext>
          </c:extLst>
        </c:ser>
        <c:dLbls>
          <c:showLegendKey val="0"/>
          <c:showVal val="0"/>
          <c:showCatName val="0"/>
          <c:showSerName val="0"/>
          <c:showPercent val="0"/>
          <c:showBubbleSize val="0"/>
        </c:dLbls>
        <c:axId val="478748768"/>
        <c:axId val="423267824"/>
      </c:scatterChart>
      <c:valAx>
        <c:axId val="424093136"/>
        <c:scaling>
          <c:orientation val="minMax"/>
          <c:min val="42323.333333333328"/>
        </c:scaling>
        <c:delete val="0"/>
        <c:axPos val="b"/>
        <c:numFmt formatCode="h:mm;@" sourceLinked="1"/>
        <c:majorTickMark val="cross"/>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424196800"/>
        <c:crosses val="autoZero"/>
        <c:crossBetween val="midCat"/>
        <c:majorUnit val="0.16666666666667002"/>
      </c:valAx>
      <c:valAx>
        <c:axId val="424196800"/>
        <c:scaling>
          <c:orientation val="minMax"/>
          <c:max val="2350"/>
          <c:min val="2230"/>
        </c:scaling>
        <c:delete val="0"/>
        <c:axPos val="l"/>
        <c:title>
          <c:tx>
            <c:rich>
              <a:bodyPr rot="-5400000" spcFirstLastPara="1" vertOverflow="ellipsis" vert="horz" wrap="square" anchor="ctr" anchorCtr="1"/>
              <a:lstStyle/>
              <a:p>
                <a:pPr>
                  <a:defRPr sz="1400" b="1" i="0" u="none" strike="noStrike" kern="1200" baseline="0">
                    <a:solidFill>
                      <a:srgbClr val="00B0F0"/>
                    </a:solidFill>
                    <a:latin typeface="Times New Roman" panose="02020603050405020304" pitchFamily="18" charset="0"/>
                    <a:ea typeface="+mn-ea"/>
                    <a:cs typeface="Times New Roman" panose="02020603050405020304" pitchFamily="18" charset="0"/>
                  </a:defRPr>
                </a:pPr>
                <a:r>
                  <a:rPr lang="en-US">
                    <a:solidFill>
                      <a:srgbClr val="00B0F0"/>
                    </a:solidFill>
                  </a:rPr>
                  <a:t>nTA</a:t>
                </a:r>
              </a:p>
              <a:p>
                <a:pPr>
                  <a:defRPr>
                    <a:solidFill>
                      <a:srgbClr val="00B0F0"/>
                    </a:solidFill>
                  </a:defRPr>
                </a:pPr>
                <a:r>
                  <a:rPr lang="en-US">
                    <a:solidFill>
                      <a:srgbClr val="00B0F0"/>
                    </a:solidFill>
                  </a:rPr>
                  <a:t>(µmol*kg-1)</a:t>
                </a:r>
              </a:p>
            </c:rich>
          </c:tx>
          <c:overlay val="0"/>
          <c:spPr>
            <a:noFill/>
            <a:ln>
              <a:noFill/>
            </a:ln>
            <a:effectLst/>
          </c:spPr>
          <c:txPr>
            <a:bodyPr rot="-5400000" spcFirstLastPara="1" vertOverflow="ellipsis" vert="horz" wrap="square" anchor="ctr" anchorCtr="1"/>
            <a:lstStyle/>
            <a:p>
              <a:pPr>
                <a:defRPr sz="1400" b="1" i="0" u="none" strike="noStrike" kern="1200" baseline="0">
                  <a:solidFill>
                    <a:srgbClr val="00B0F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rgbClr val="00B0F0"/>
                </a:solidFill>
                <a:latin typeface="Times New Roman" panose="02020603050405020304" pitchFamily="18" charset="0"/>
                <a:ea typeface="+mn-ea"/>
                <a:cs typeface="Times New Roman" panose="02020603050405020304" pitchFamily="18" charset="0"/>
              </a:defRPr>
            </a:pPr>
            <a:endParaRPr lang="en-US"/>
          </a:p>
        </c:txPr>
        <c:crossAx val="424093136"/>
        <c:crosses val="autoZero"/>
        <c:crossBetween val="midCat"/>
      </c:valAx>
      <c:valAx>
        <c:axId val="423267824"/>
        <c:scaling>
          <c:orientation val="minMax"/>
          <c:max val="2100"/>
          <c:min val="1800"/>
        </c:scaling>
        <c:delete val="0"/>
        <c:axPos val="r"/>
        <c:title>
          <c:tx>
            <c:rich>
              <a:bodyPr rot="5400000" spcFirstLastPara="1" vertOverflow="ellipsis" wrap="square" anchor="ctr" anchorCtr="1"/>
              <a:lstStyle/>
              <a:p>
                <a:pPr>
                  <a:defRPr sz="1400" b="1" i="0" u="none" strike="noStrike" kern="1200" baseline="0">
                    <a:solidFill>
                      <a:schemeClr val="accent2">
                        <a:lumMod val="75000"/>
                      </a:schemeClr>
                    </a:solidFill>
                    <a:latin typeface="Times New Roman" panose="02020603050405020304" pitchFamily="18" charset="0"/>
                    <a:ea typeface="+mn-ea"/>
                    <a:cs typeface="Times New Roman" panose="02020603050405020304" pitchFamily="18" charset="0"/>
                  </a:defRPr>
                </a:pPr>
                <a:r>
                  <a:rPr lang="en-US">
                    <a:solidFill>
                      <a:schemeClr val="accent2">
                        <a:lumMod val="75000"/>
                      </a:schemeClr>
                    </a:solidFill>
                  </a:rPr>
                  <a:t>nDIC</a:t>
                </a:r>
              </a:p>
              <a:p>
                <a:pPr>
                  <a:defRPr>
                    <a:solidFill>
                      <a:schemeClr val="accent2">
                        <a:lumMod val="75000"/>
                      </a:schemeClr>
                    </a:solidFill>
                  </a:defRPr>
                </a:pPr>
                <a:r>
                  <a:rPr lang="en-US">
                    <a:solidFill>
                      <a:schemeClr val="accent2">
                        <a:lumMod val="75000"/>
                      </a:schemeClr>
                    </a:solidFill>
                  </a:rPr>
                  <a:t>(µmol*kg-1)</a:t>
                </a:r>
              </a:p>
            </c:rich>
          </c:tx>
          <c:overlay val="0"/>
          <c:spPr>
            <a:noFill/>
            <a:ln>
              <a:noFill/>
            </a:ln>
            <a:effectLst/>
          </c:spPr>
          <c:txPr>
            <a:bodyPr rot="5400000" spcFirstLastPara="1" vertOverflow="ellipsis" wrap="square" anchor="ctr" anchorCtr="1"/>
            <a:lstStyle/>
            <a:p>
              <a:pPr>
                <a:defRPr sz="1400" b="1" i="0" u="none" strike="noStrike" kern="1200" baseline="0">
                  <a:solidFill>
                    <a:schemeClr val="accent2">
                      <a:lumMod val="75000"/>
                    </a:schemeClr>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accent2">
                    <a:lumMod val="75000"/>
                  </a:schemeClr>
                </a:solidFill>
                <a:latin typeface="Times New Roman" panose="02020603050405020304" pitchFamily="18" charset="0"/>
                <a:ea typeface="+mn-ea"/>
                <a:cs typeface="Times New Roman" panose="02020603050405020304" pitchFamily="18" charset="0"/>
              </a:defRPr>
            </a:pPr>
            <a:endParaRPr lang="en-US"/>
          </a:p>
        </c:txPr>
        <c:crossAx val="478748768"/>
        <c:crosses val="max"/>
        <c:crossBetween val="midCat"/>
      </c:valAx>
      <c:valAx>
        <c:axId val="478748768"/>
        <c:scaling>
          <c:orientation val="minMax"/>
        </c:scaling>
        <c:delete val="1"/>
        <c:axPos val="b"/>
        <c:numFmt formatCode="h:mm;@" sourceLinked="1"/>
        <c:majorTickMark val="out"/>
        <c:minorTickMark val="none"/>
        <c:tickLblPos val="nextTo"/>
        <c:crossAx val="423267824"/>
        <c:crosses val="autoZero"/>
        <c:crossBetween val="midCat"/>
      </c:valAx>
      <c:spPr>
        <a:noFill/>
        <a:ln>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b="1">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25400" cap="rnd">
              <a:noFill/>
              <a:round/>
            </a:ln>
            <a:effectLst/>
          </c:spPr>
          <c:marker>
            <c:symbol val="circle"/>
            <c:size val="8"/>
            <c:spPr>
              <a:solidFill>
                <a:schemeClr val="accent6">
                  <a:lumMod val="75000"/>
                </a:schemeClr>
              </a:solidFill>
              <a:ln w="9525">
                <a:noFill/>
              </a:ln>
              <a:effectLst/>
            </c:spPr>
          </c:marker>
          <c:errBars>
            <c:errDir val="y"/>
            <c:errBarType val="both"/>
            <c:errValType val="fixedVal"/>
            <c:noEndCap val="0"/>
            <c:val val="4"/>
            <c:spPr>
              <a:noFill/>
              <a:ln w="9525" cap="flat" cmpd="sng" algn="ctr">
                <a:solidFill>
                  <a:schemeClr val="tx1">
                    <a:lumMod val="65000"/>
                    <a:lumOff val="35000"/>
                  </a:schemeClr>
                </a:solidFill>
                <a:round/>
              </a:ln>
              <a:effectLst/>
            </c:spPr>
          </c:errBars>
          <c:xVal>
            <c:numRef>
              <c:f>'All Experimental Diel Data'!$A$35:$A$48</c:f>
              <c:numCache>
                <c:formatCode>h:mm;@</c:formatCode>
                <c:ptCount val="14"/>
                <c:pt idx="0">
                  <c:v>42300.100694444445</c:v>
                </c:pt>
                <c:pt idx="1">
                  <c:v>42300.260416666664</c:v>
                </c:pt>
                <c:pt idx="2">
                  <c:v>42300.333333333336</c:v>
                </c:pt>
                <c:pt idx="3">
                  <c:v>42300.416666666664</c:v>
                </c:pt>
                <c:pt idx="4">
                  <c:v>42300.5</c:v>
                </c:pt>
                <c:pt idx="5">
                  <c:v>42300.583333333336</c:v>
                </c:pt>
                <c:pt idx="6">
                  <c:v>42300.666666666664</c:v>
                </c:pt>
                <c:pt idx="7">
                  <c:v>42300.739583333336</c:v>
                </c:pt>
                <c:pt idx="8">
                  <c:v>42300.916666666664</c:v>
                </c:pt>
                <c:pt idx="9">
                  <c:v>42301.00277777778</c:v>
                </c:pt>
                <c:pt idx="10">
                  <c:v>42301.086111111108</c:v>
                </c:pt>
                <c:pt idx="11">
                  <c:v>42301.166666666664</c:v>
                </c:pt>
                <c:pt idx="12">
                  <c:v>42301.25</c:v>
                </c:pt>
                <c:pt idx="13">
                  <c:v>42301.354166666664</c:v>
                </c:pt>
              </c:numCache>
            </c:numRef>
          </c:xVal>
          <c:yVal>
            <c:numRef>
              <c:f>'All Experimental Diel Data'!$P$35:$P$48</c:f>
              <c:numCache>
                <c:formatCode>0.00</c:formatCode>
                <c:ptCount val="14"/>
                <c:pt idx="0">
                  <c:v>175.21999358329001</c:v>
                </c:pt>
                <c:pt idx="1">
                  <c:v>183.40102266850664</c:v>
                </c:pt>
                <c:pt idx="2">
                  <c:v>196.36012403203611</c:v>
                </c:pt>
                <c:pt idx="3">
                  <c:v>216.81693098303583</c:v>
                </c:pt>
                <c:pt idx="4">
                  <c:v>224.11229311154705</c:v>
                </c:pt>
                <c:pt idx="5">
                  <c:v>221.6535489647701</c:v>
                </c:pt>
                <c:pt idx="6">
                  <c:v>217.05323645605986</c:v>
                </c:pt>
                <c:pt idx="7">
                  <c:v>206.4929874121699</c:v>
                </c:pt>
                <c:pt idx="8">
                  <c:v>183.37771079293307</c:v>
                </c:pt>
                <c:pt idx="9">
                  <c:v>181.50262897075376</c:v>
                </c:pt>
                <c:pt idx="10">
                  <c:v>177.32279036097614</c:v>
                </c:pt>
                <c:pt idx="11">
                  <c:v>177.36487950702622</c:v>
                </c:pt>
                <c:pt idx="12">
                  <c:v>176.3461389126166</c:v>
                </c:pt>
                <c:pt idx="13">
                  <c:v>197.55002575364011</c:v>
                </c:pt>
              </c:numCache>
            </c:numRef>
          </c:yVal>
          <c:smooth val="0"/>
          <c:extLst>
            <c:ext xmlns:c16="http://schemas.microsoft.com/office/drawing/2014/chart" uri="{C3380CC4-5D6E-409C-BE32-E72D297353CC}">
              <c16:uniqueId val="{00000000-BBCA-DB42-9896-FA656C29657D}"/>
            </c:ext>
          </c:extLst>
        </c:ser>
        <c:dLbls>
          <c:showLegendKey val="0"/>
          <c:showVal val="0"/>
          <c:showCatName val="0"/>
          <c:showSerName val="0"/>
          <c:showPercent val="0"/>
          <c:showBubbleSize val="0"/>
        </c:dLbls>
        <c:axId val="424093136"/>
        <c:axId val="424196800"/>
      </c:scatterChart>
      <c:scatterChart>
        <c:scatterStyle val="lineMarker"/>
        <c:varyColors val="0"/>
        <c:ser>
          <c:idx val="1"/>
          <c:order val="1"/>
          <c:spPr>
            <a:ln w="25400" cap="rnd">
              <a:noFill/>
              <a:round/>
            </a:ln>
            <a:effectLst/>
          </c:spPr>
          <c:marker>
            <c:symbol val="circle"/>
            <c:size val="8"/>
            <c:spPr>
              <a:solidFill>
                <a:schemeClr val="accent2">
                  <a:lumMod val="75000"/>
                </a:schemeClr>
              </a:solidFill>
              <a:ln w="9525">
                <a:solidFill>
                  <a:schemeClr val="accent2"/>
                </a:solidFill>
              </a:ln>
              <a:effectLst/>
            </c:spPr>
          </c:marker>
          <c:errBars>
            <c:errDir val="y"/>
            <c:errBarType val="both"/>
            <c:errValType val="fixedVal"/>
            <c:noEndCap val="0"/>
            <c:val val="3.7"/>
            <c:spPr>
              <a:noFill/>
              <a:ln w="9525" cap="flat" cmpd="sng" algn="ctr">
                <a:solidFill>
                  <a:schemeClr val="tx1">
                    <a:lumMod val="65000"/>
                    <a:lumOff val="35000"/>
                  </a:schemeClr>
                </a:solidFill>
                <a:round/>
              </a:ln>
              <a:effectLst/>
            </c:spPr>
          </c:errBars>
          <c:xVal>
            <c:numRef>
              <c:f>'All Experimental Diel Data'!$A$35:$A$48</c:f>
              <c:numCache>
                <c:formatCode>h:mm;@</c:formatCode>
                <c:ptCount val="14"/>
                <c:pt idx="0">
                  <c:v>42300.100694444445</c:v>
                </c:pt>
                <c:pt idx="1">
                  <c:v>42300.260416666664</c:v>
                </c:pt>
                <c:pt idx="2">
                  <c:v>42300.333333333336</c:v>
                </c:pt>
                <c:pt idx="3">
                  <c:v>42300.416666666664</c:v>
                </c:pt>
                <c:pt idx="4">
                  <c:v>42300.5</c:v>
                </c:pt>
                <c:pt idx="5">
                  <c:v>42300.583333333336</c:v>
                </c:pt>
                <c:pt idx="6">
                  <c:v>42300.666666666664</c:v>
                </c:pt>
                <c:pt idx="7">
                  <c:v>42300.739583333336</c:v>
                </c:pt>
                <c:pt idx="8">
                  <c:v>42300.916666666664</c:v>
                </c:pt>
                <c:pt idx="9">
                  <c:v>42301.00277777778</c:v>
                </c:pt>
                <c:pt idx="10">
                  <c:v>42301.086111111108</c:v>
                </c:pt>
                <c:pt idx="11">
                  <c:v>42301.166666666664</c:v>
                </c:pt>
                <c:pt idx="12">
                  <c:v>42301.25</c:v>
                </c:pt>
                <c:pt idx="13">
                  <c:v>42301.354166666664</c:v>
                </c:pt>
              </c:numCache>
            </c:numRef>
          </c:xVal>
          <c:yVal>
            <c:numRef>
              <c:f>'All Experimental Diel Data'!$H$35:$H$48</c:f>
              <c:numCache>
                <c:formatCode>0.00</c:formatCode>
                <c:ptCount val="14"/>
                <c:pt idx="0">
                  <c:v>1861.0270608149222</c:v>
                </c:pt>
                <c:pt idx="1">
                  <c:v>2008.8060663213521</c:v>
                </c:pt>
                <c:pt idx="2">
                  <c:v>1993.743512361749</c:v>
                </c:pt>
                <c:pt idx="3">
                  <c:v>1959.8859755760623</c:v>
                </c:pt>
                <c:pt idx="4">
                  <c:v>1938.822718355392</c:v>
                </c:pt>
                <c:pt idx="5">
                  <c:v>1942.8118954710765</c:v>
                </c:pt>
                <c:pt idx="6">
                  <c:v>1939.4402022267036</c:v>
                </c:pt>
                <c:pt idx="7">
                  <c:v>1949.7016402324077</c:v>
                </c:pt>
                <c:pt idx="8">
                  <c:v>2019.3828183873397</c:v>
                </c:pt>
                <c:pt idx="9">
                  <c:v>2021.0342018176016</c:v>
                </c:pt>
                <c:pt idx="10">
                  <c:v>2035.5308006069633</c:v>
                </c:pt>
                <c:pt idx="11">
                  <c:v>2031.297001150198</c:v>
                </c:pt>
                <c:pt idx="12">
                  <c:v>2035.9967773426665</c:v>
                </c:pt>
                <c:pt idx="13">
                  <c:v>2003.5025227490482</c:v>
                </c:pt>
              </c:numCache>
            </c:numRef>
          </c:yVal>
          <c:smooth val="0"/>
          <c:extLst>
            <c:ext xmlns:c16="http://schemas.microsoft.com/office/drawing/2014/chart" uri="{C3380CC4-5D6E-409C-BE32-E72D297353CC}">
              <c16:uniqueId val="{00000001-BBCA-DB42-9896-FA656C29657D}"/>
            </c:ext>
          </c:extLst>
        </c:ser>
        <c:dLbls>
          <c:showLegendKey val="0"/>
          <c:showVal val="0"/>
          <c:showCatName val="0"/>
          <c:showSerName val="0"/>
          <c:showPercent val="0"/>
          <c:showBubbleSize val="0"/>
        </c:dLbls>
        <c:axId val="478748768"/>
        <c:axId val="423267824"/>
      </c:scatterChart>
      <c:valAx>
        <c:axId val="424093136"/>
        <c:scaling>
          <c:orientation val="minMax"/>
          <c:max val="42301.5"/>
          <c:min val="42300.333333333299"/>
        </c:scaling>
        <c:delete val="0"/>
        <c:axPos val="b"/>
        <c:numFmt formatCode="h:mm;@" sourceLinked="1"/>
        <c:majorTickMark val="cross"/>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424196800"/>
        <c:crosses val="autoZero"/>
        <c:crossBetween val="midCat"/>
        <c:majorUnit val="0.16666666666667002"/>
      </c:valAx>
      <c:valAx>
        <c:axId val="424196800"/>
        <c:scaling>
          <c:orientation val="minMax"/>
          <c:min val="140"/>
        </c:scaling>
        <c:delete val="0"/>
        <c:axPos val="l"/>
        <c:title>
          <c:tx>
            <c:rich>
              <a:bodyPr rot="-5400000" spcFirstLastPara="1" vertOverflow="ellipsis" vert="horz" wrap="square" anchor="ctr" anchorCtr="1"/>
              <a:lstStyle/>
              <a:p>
                <a:pPr>
                  <a:defRPr sz="1400" b="1" i="0" u="none" strike="noStrike" kern="1200" baseline="0">
                    <a:solidFill>
                      <a:schemeClr val="accent6">
                        <a:lumMod val="75000"/>
                      </a:schemeClr>
                    </a:solidFill>
                    <a:latin typeface="Times New Roman" panose="02020603050405020304" pitchFamily="18" charset="0"/>
                    <a:ea typeface="+mn-ea"/>
                    <a:cs typeface="Times New Roman" panose="02020603050405020304" pitchFamily="18" charset="0"/>
                  </a:defRPr>
                </a:pPr>
                <a:r>
                  <a:rPr lang="en-US">
                    <a:solidFill>
                      <a:schemeClr val="accent6">
                        <a:lumMod val="75000"/>
                      </a:schemeClr>
                    </a:solidFill>
                  </a:rPr>
                  <a:t>nO2</a:t>
                </a:r>
              </a:p>
              <a:p>
                <a:pPr>
                  <a:defRPr>
                    <a:solidFill>
                      <a:schemeClr val="accent6">
                        <a:lumMod val="75000"/>
                      </a:schemeClr>
                    </a:solidFill>
                  </a:defRPr>
                </a:pPr>
                <a:r>
                  <a:rPr lang="en-US">
                    <a:solidFill>
                      <a:schemeClr val="accent6">
                        <a:lumMod val="75000"/>
                      </a:schemeClr>
                    </a:solidFill>
                  </a:rPr>
                  <a:t>(µmol*kg-1)</a:t>
                </a:r>
              </a:p>
            </c:rich>
          </c:tx>
          <c:overlay val="0"/>
          <c:spPr>
            <a:noFill/>
            <a:ln>
              <a:noFill/>
            </a:ln>
            <a:effectLst/>
          </c:spPr>
          <c:txPr>
            <a:bodyPr rot="-5400000" spcFirstLastPara="1" vertOverflow="ellipsis" vert="horz" wrap="square" anchor="ctr" anchorCtr="1"/>
            <a:lstStyle/>
            <a:p>
              <a:pPr>
                <a:defRPr sz="1400" b="1" i="0" u="none" strike="noStrike" kern="1200" baseline="0">
                  <a:solidFill>
                    <a:schemeClr val="accent6">
                      <a:lumMod val="75000"/>
                    </a:schemeClr>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accent6">
                    <a:lumMod val="75000"/>
                  </a:schemeClr>
                </a:solidFill>
                <a:latin typeface="Times New Roman" panose="02020603050405020304" pitchFamily="18" charset="0"/>
                <a:ea typeface="+mn-ea"/>
                <a:cs typeface="Times New Roman" panose="02020603050405020304" pitchFamily="18" charset="0"/>
              </a:defRPr>
            </a:pPr>
            <a:endParaRPr lang="en-US"/>
          </a:p>
        </c:txPr>
        <c:crossAx val="424093136"/>
        <c:crosses val="autoZero"/>
        <c:crossBetween val="midCat"/>
      </c:valAx>
      <c:valAx>
        <c:axId val="423267824"/>
        <c:scaling>
          <c:orientation val="minMax"/>
          <c:max val="2100"/>
          <c:min val="1800"/>
        </c:scaling>
        <c:delete val="0"/>
        <c:axPos val="r"/>
        <c:title>
          <c:tx>
            <c:rich>
              <a:bodyPr rot="5400000" spcFirstLastPara="1" vertOverflow="ellipsis" wrap="square" anchor="ctr" anchorCtr="1"/>
              <a:lstStyle/>
              <a:p>
                <a:pPr>
                  <a:defRPr sz="1400" b="1" i="0" u="none" strike="noStrike" kern="1200" baseline="0">
                    <a:solidFill>
                      <a:schemeClr val="accent2">
                        <a:lumMod val="75000"/>
                      </a:schemeClr>
                    </a:solidFill>
                    <a:latin typeface="Times New Roman" panose="02020603050405020304" pitchFamily="18" charset="0"/>
                    <a:ea typeface="+mn-ea"/>
                    <a:cs typeface="Times New Roman" panose="02020603050405020304" pitchFamily="18" charset="0"/>
                  </a:defRPr>
                </a:pPr>
                <a:r>
                  <a:rPr lang="en-US">
                    <a:solidFill>
                      <a:schemeClr val="accent2">
                        <a:lumMod val="75000"/>
                      </a:schemeClr>
                    </a:solidFill>
                  </a:rPr>
                  <a:t>nDIC</a:t>
                </a:r>
              </a:p>
              <a:p>
                <a:pPr>
                  <a:defRPr>
                    <a:solidFill>
                      <a:schemeClr val="accent2">
                        <a:lumMod val="75000"/>
                      </a:schemeClr>
                    </a:solidFill>
                  </a:defRPr>
                </a:pPr>
                <a:r>
                  <a:rPr lang="en-US">
                    <a:solidFill>
                      <a:schemeClr val="accent2">
                        <a:lumMod val="75000"/>
                      </a:schemeClr>
                    </a:solidFill>
                  </a:rPr>
                  <a:t>(µmol*kg-1)</a:t>
                </a:r>
              </a:p>
            </c:rich>
          </c:tx>
          <c:overlay val="0"/>
          <c:spPr>
            <a:noFill/>
            <a:ln>
              <a:noFill/>
            </a:ln>
            <a:effectLst/>
          </c:spPr>
          <c:txPr>
            <a:bodyPr rot="5400000" spcFirstLastPara="1" vertOverflow="ellipsis" wrap="square" anchor="ctr" anchorCtr="1"/>
            <a:lstStyle/>
            <a:p>
              <a:pPr>
                <a:defRPr sz="1400" b="1" i="0" u="none" strike="noStrike" kern="1200" baseline="0">
                  <a:solidFill>
                    <a:schemeClr val="accent2">
                      <a:lumMod val="75000"/>
                    </a:schemeClr>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accent2">
                    <a:lumMod val="75000"/>
                  </a:schemeClr>
                </a:solidFill>
                <a:latin typeface="Times New Roman" panose="02020603050405020304" pitchFamily="18" charset="0"/>
                <a:ea typeface="+mn-ea"/>
                <a:cs typeface="Times New Roman" panose="02020603050405020304" pitchFamily="18" charset="0"/>
              </a:defRPr>
            </a:pPr>
            <a:endParaRPr lang="en-US"/>
          </a:p>
        </c:txPr>
        <c:crossAx val="478748768"/>
        <c:crosses val="max"/>
        <c:crossBetween val="midCat"/>
      </c:valAx>
      <c:valAx>
        <c:axId val="478748768"/>
        <c:scaling>
          <c:orientation val="minMax"/>
        </c:scaling>
        <c:delete val="1"/>
        <c:axPos val="b"/>
        <c:numFmt formatCode="h:mm;@" sourceLinked="1"/>
        <c:majorTickMark val="out"/>
        <c:minorTickMark val="none"/>
        <c:tickLblPos val="nextTo"/>
        <c:crossAx val="423267824"/>
        <c:crosses val="autoZero"/>
        <c:crossBetween val="midCat"/>
      </c:valAx>
      <c:spPr>
        <a:noFill/>
        <a:ln>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b="1">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25400" cap="rnd">
              <a:noFill/>
              <a:round/>
            </a:ln>
            <a:effectLst/>
          </c:spPr>
          <c:marker>
            <c:symbol val="circle"/>
            <c:size val="8"/>
            <c:spPr>
              <a:solidFill>
                <a:srgbClr val="00B0F0"/>
              </a:solidFill>
              <a:ln w="9525">
                <a:noFill/>
              </a:ln>
              <a:effectLst/>
            </c:spPr>
          </c:marker>
          <c:errBars>
            <c:errDir val="y"/>
            <c:errBarType val="both"/>
            <c:errValType val="fixedVal"/>
            <c:noEndCap val="0"/>
            <c:val val="4.3"/>
            <c:spPr>
              <a:noFill/>
              <a:ln w="9525" cap="flat" cmpd="sng" algn="ctr">
                <a:solidFill>
                  <a:schemeClr val="tx1">
                    <a:lumMod val="65000"/>
                    <a:lumOff val="35000"/>
                  </a:schemeClr>
                </a:solidFill>
                <a:round/>
              </a:ln>
              <a:effectLst/>
            </c:spPr>
          </c:errBars>
          <c:xVal>
            <c:numRef>
              <c:f>'All Experimental Diel Data'!$A$35:$A$48</c:f>
              <c:numCache>
                <c:formatCode>h:mm;@</c:formatCode>
                <c:ptCount val="14"/>
                <c:pt idx="0">
                  <c:v>42300.100694444445</c:v>
                </c:pt>
                <c:pt idx="1">
                  <c:v>42300.260416666664</c:v>
                </c:pt>
                <c:pt idx="2">
                  <c:v>42300.333333333336</c:v>
                </c:pt>
                <c:pt idx="3">
                  <c:v>42300.416666666664</c:v>
                </c:pt>
                <c:pt idx="4">
                  <c:v>42300.5</c:v>
                </c:pt>
                <c:pt idx="5">
                  <c:v>42300.583333333336</c:v>
                </c:pt>
                <c:pt idx="6">
                  <c:v>42300.666666666664</c:v>
                </c:pt>
                <c:pt idx="7">
                  <c:v>42300.739583333336</c:v>
                </c:pt>
                <c:pt idx="8">
                  <c:v>42300.916666666664</c:v>
                </c:pt>
                <c:pt idx="9">
                  <c:v>42301.00277777778</c:v>
                </c:pt>
                <c:pt idx="10">
                  <c:v>42301.086111111108</c:v>
                </c:pt>
                <c:pt idx="11">
                  <c:v>42301.166666666664</c:v>
                </c:pt>
                <c:pt idx="12">
                  <c:v>42301.25</c:v>
                </c:pt>
                <c:pt idx="13">
                  <c:v>42301.354166666664</c:v>
                </c:pt>
              </c:numCache>
            </c:numRef>
          </c:xVal>
          <c:yVal>
            <c:numRef>
              <c:f>'All Experimental Diel Data'!$E$35:$E$48</c:f>
              <c:numCache>
                <c:formatCode>0.00</c:formatCode>
                <c:ptCount val="14"/>
                <c:pt idx="0">
                  <c:v>2287.5921848897542</c:v>
                </c:pt>
                <c:pt idx="1">
                  <c:v>2329.5669560263605</c:v>
                </c:pt>
                <c:pt idx="2">
                  <c:v>2334.2406354154577</c:v>
                </c:pt>
                <c:pt idx="3">
                  <c:v>2321.6077802950758</c:v>
                </c:pt>
                <c:pt idx="4">
                  <c:v>2292.788483324583</c:v>
                </c:pt>
                <c:pt idx="5">
                  <c:v>2312.8589589113776</c:v>
                </c:pt>
                <c:pt idx="6">
                  <c:v>2297.7579909937281</c:v>
                </c:pt>
                <c:pt idx="7">
                  <c:v>2298.2239937199056</c:v>
                </c:pt>
                <c:pt idx="8">
                  <c:v>2322.6723603784644</c:v>
                </c:pt>
                <c:pt idx="9">
                  <c:v>2328.096054024089</c:v>
                </c:pt>
                <c:pt idx="10">
                  <c:v>2327.0080325198728</c:v>
                </c:pt>
                <c:pt idx="11">
                  <c:v>2322.8858859025718</c:v>
                </c:pt>
                <c:pt idx="12">
                  <c:v>2326.9305991591141</c:v>
                </c:pt>
                <c:pt idx="13">
                  <c:v>2308.6159495339421</c:v>
                </c:pt>
              </c:numCache>
            </c:numRef>
          </c:yVal>
          <c:smooth val="0"/>
          <c:extLst>
            <c:ext xmlns:c16="http://schemas.microsoft.com/office/drawing/2014/chart" uri="{C3380CC4-5D6E-409C-BE32-E72D297353CC}">
              <c16:uniqueId val="{00000000-BBCA-DB42-9896-FA656C29657D}"/>
            </c:ext>
          </c:extLst>
        </c:ser>
        <c:dLbls>
          <c:showLegendKey val="0"/>
          <c:showVal val="0"/>
          <c:showCatName val="0"/>
          <c:showSerName val="0"/>
          <c:showPercent val="0"/>
          <c:showBubbleSize val="0"/>
        </c:dLbls>
        <c:axId val="424093136"/>
        <c:axId val="424196800"/>
      </c:scatterChart>
      <c:scatterChart>
        <c:scatterStyle val="lineMarker"/>
        <c:varyColors val="0"/>
        <c:ser>
          <c:idx val="1"/>
          <c:order val="1"/>
          <c:spPr>
            <a:ln w="25400" cap="rnd">
              <a:noFill/>
              <a:round/>
            </a:ln>
            <a:effectLst/>
          </c:spPr>
          <c:marker>
            <c:symbol val="circle"/>
            <c:size val="8"/>
            <c:spPr>
              <a:solidFill>
                <a:schemeClr val="accent2">
                  <a:lumMod val="75000"/>
                </a:schemeClr>
              </a:solidFill>
              <a:ln w="9525">
                <a:solidFill>
                  <a:schemeClr val="accent2"/>
                </a:solidFill>
              </a:ln>
              <a:effectLst/>
            </c:spPr>
          </c:marker>
          <c:errBars>
            <c:errDir val="y"/>
            <c:errBarType val="both"/>
            <c:errValType val="fixedVal"/>
            <c:noEndCap val="0"/>
            <c:val val="3.7"/>
            <c:spPr>
              <a:noFill/>
              <a:ln w="9525" cap="flat" cmpd="sng" algn="ctr">
                <a:solidFill>
                  <a:schemeClr val="tx1">
                    <a:lumMod val="65000"/>
                    <a:lumOff val="35000"/>
                  </a:schemeClr>
                </a:solidFill>
                <a:round/>
              </a:ln>
              <a:effectLst/>
            </c:spPr>
          </c:errBars>
          <c:xVal>
            <c:numRef>
              <c:f>'All Experimental Diel Data'!$A$35:$A$48</c:f>
              <c:numCache>
                <c:formatCode>h:mm;@</c:formatCode>
                <c:ptCount val="14"/>
                <c:pt idx="0">
                  <c:v>42300.100694444445</c:v>
                </c:pt>
                <c:pt idx="1">
                  <c:v>42300.260416666664</c:v>
                </c:pt>
                <c:pt idx="2">
                  <c:v>42300.333333333336</c:v>
                </c:pt>
                <c:pt idx="3">
                  <c:v>42300.416666666664</c:v>
                </c:pt>
                <c:pt idx="4">
                  <c:v>42300.5</c:v>
                </c:pt>
                <c:pt idx="5">
                  <c:v>42300.583333333336</c:v>
                </c:pt>
                <c:pt idx="6">
                  <c:v>42300.666666666664</c:v>
                </c:pt>
                <c:pt idx="7">
                  <c:v>42300.739583333336</c:v>
                </c:pt>
                <c:pt idx="8">
                  <c:v>42300.916666666664</c:v>
                </c:pt>
                <c:pt idx="9">
                  <c:v>42301.00277777778</c:v>
                </c:pt>
                <c:pt idx="10">
                  <c:v>42301.086111111108</c:v>
                </c:pt>
                <c:pt idx="11">
                  <c:v>42301.166666666664</c:v>
                </c:pt>
                <c:pt idx="12">
                  <c:v>42301.25</c:v>
                </c:pt>
                <c:pt idx="13">
                  <c:v>42301.354166666664</c:v>
                </c:pt>
              </c:numCache>
            </c:numRef>
          </c:xVal>
          <c:yVal>
            <c:numRef>
              <c:f>'All Experimental Diel Data'!$H$35:$H$48</c:f>
              <c:numCache>
                <c:formatCode>0.00</c:formatCode>
                <c:ptCount val="14"/>
                <c:pt idx="0">
                  <c:v>1861.0270608149222</c:v>
                </c:pt>
                <c:pt idx="1">
                  <c:v>2008.8060663213521</c:v>
                </c:pt>
                <c:pt idx="2">
                  <c:v>1993.743512361749</c:v>
                </c:pt>
                <c:pt idx="3">
                  <c:v>1959.8859755760623</c:v>
                </c:pt>
                <c:pt idx="4">
                  <c:v>1938.822718355392</c:v>
                </c:pt>
                <c:pt idx="5">
                  <c:v>1942.8118954710765</c:v>
                </c:pt>
                <c:pt idx="6">
                  <c:v>1939.4402022267036</c:v>
                </c:pt>
                <c:pt idx="7">
                  <c:v>1949.7016402324077</c:v>
                </c:pt>
                <c:pt idx="8">
                  <c:v>2019.3828183873397</c:v>
                </c:pt>
                <c:pt idx="9">
                  <c:v>2021.0342018176016</c:v>
                </c:pt>
                <c:pt idx="10">
                  <c:v>2035.5308006069633</c:v>
                </c:pt>
                <c:pt idx="11">
                  <c:v>2031.297001150198</c:v>
                </c:pt>
                <c:pt idx="12">
                  <c:v>2035.9967773426665</c:v>
                </c:pt>
                <c:pt idx="13">
                  <c:v>2003.5025227490482</c:v>
                </c:pt>
              </c:numCache>
            </c:numRef>
          </c:yVal>
          <c:smooth val="0"/>
          <c:extLst>
            <c:ext xmlns:c16="http://schemas.microsoft.com/office/drawing/2014/chart" uri="{C3380CC4-5D6E-409C-BE32-E72D297353CC}">
              <c16:uniqueId val="{00000001-BBCA-DB42-9896-FA656C29657D}"/>
            </c:ext>
          </c:extLst>
        </c:ser>
        <c:dLbls>
          <c:showLegendKey val="0"/>
          <c:showVal val="0"/>
          <c:showCatName val="0"/>
          <c:showSerName val="0"/>
          <c:showPercent val="0"/>
          <c:showBubbleSize val="0"/>
        </c:dLbls>
        <c:axId val="478748768"/>
        <c:axId val="423267824"/>
      </c:scatterChart>
      <c:valAx>
        <c:axId val="424093136"/>
        <c:scaling>
          <c:orientation val="minMax"/>
          <c:min val="42300.333333333001"/>
        </c:scaling>
        <c:delete val="0"/>
        <c:axPos val="b"/>
        <c:numFmt formatCode="h:mm;@" sourceLinked="1"/>
        <c:majorTickMark val="cross"/>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424196800"/>
        <c:crosses val="autoZero"/>
        <c:crossBetween val="midCat"/>
        <c:majorUnit val="0.16666666666667002"/>
      </c:valAx>
      <c:valAx>
        <c:axId val="424196800"/>
        <c:scaling>
          <c:orientation val="minMax"/>
          <c:max val="2350"/>
          <c:min val="2230"/>
        </c:scaling>
        <c:delete val="0"/>
        <c:axPos val="l"/>
        <c:title>
          <c:tx>
            <c:rich>
              <a:bodyPr rot="-5400000" spcFirstLastPara="1" vertOverflow="ellipsis" vert="horz" wrap="square" anchor="ctr" anchorCtr="1"/>
              <a:lstStyle/>
              <a:p>
                <a:pPr>
                  <a:defRPr sz="1400" b="1" i="0" u="none" strike="noStrike" kern="1200" baseline="0">
                    <a:solidFill>
                      <a:srgbClr val="00B0F0"/>
                    </a:solidFill>
                    <a:latin typeface="Times New Roman" panose="02020603050405020304" pitchFamily="18" charset="0"/>
                    <a:ea typeface="+mn-ea"/>
                    <a:cs typeface="Times New Roman" panose="02020603050405020304" pitchFamily="18" charset="0"/>
                  </a:defRPr>
                </a:pPr>
                <a:r>
                  <a:rPr lang="en-US">
                    <a:solidFill>
                      <a:srgbClr val="00B0F0"/>
                    </a:solidFill>
                  </a:rPr>
                  <a:t>nTA</a:t>
                </a:r>
              </a:p>
              <a:p>
                <a:pPr>
                  <a:defRPr>
                    <a:solidFill>
                      <a:srgbClr val="00B0F0"/>
                    </a:solidFill>
                  </a:defRPr>
                </a:pPr>
                <a:r>
                  <a:rPr lang="en-US">
                    <a:solidFill>
                      <a:srgbClr val="00B0F0"/>
                    </a:solidFill>
                  </a:rPr>
                  <a:t>(µmol*kg-1)</a:t>
                </a:r>
              </a:p>
            </c:rich>
          </c:tx>
          <c:overlay val="0"/>
          <c:spPr>
            <a:noFill/>
            <a:ln>
              <a:noFill/>
            </a:ln>
            <a:effectLst/>
          </c:spPr>
          <c:txPr>
            <a:bodyPr rot="-5400000" spcFirstLastPara="1" vertOverflow="ellipsis" vert="horz" wrap="square" anchor="ctr" anchorCtr="1"/>
            <a:lstStyle/>
            <a:p>
              <a:pPr>
                <a:defRPr sz="1400" b="1" i="0" u="none" strike="noStrike" kern="1200" baseline="0">
                  <a:solidFill>
                    <a:srgbClr val="00B0F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rgbClr val="00B0F0"/>
                </a:solidFill>
                <a:latin typeface="Times New Roman" panose="02020603050405020304" pitchFamily="18" charset="0"/>
                <a:ea typeface="+mn-ea"/>
                <a:cs typeface="Times New Roman" panose="02020603050405020304" pitchFamily="18" charset="0"/>
              </a:defRPr>
            </a:pPr>
            <a:endParaRPr lang="en-US"/>
          </a:p>
        </c:txPr>
        <c:crossAx val="424093136"/>
        <c:crosses val="autoZero"/>
        <c:crossBetween val="midCat"/>
      </c:valAx>
      <c:valAx>
        <c:axId val="423267824"/>
        <c:scaling>
          <c:orientation val="minMax"/>
          <c:max val="2100"/>
          <c:min val="1800"/>
        </c:scaling>
        <c:delete val="0"/>
        <c:axPos val="r"/>
        <c:title>
          <c:tx>
            <c:rich>
              <a:bodyPr rot="5400000" spcFirstLastPara="1" vertOverflow="ellipsis" wrap="square" anchor="ctr" anchorCtr="1"/>
              <a:lstStyle/>
              <a:p>
                <a:pPr>
                  <a:defRPr sz="1400" b="1" i="0" u="none" strike="noStrike" kern="1200" baseline="0">
                    <a:solidFill>
                      <a:schemeClr val="accent2">
                        <a:lumMod val="75000"/>
                      </a:schemeClr>
                    </a:solidFill>
                    <a:latin typeface="Times New Roman" panose="02020603050405020304" pitchFamily="18" charset="0"/>
                    <a:ea typeface="+mn-ea"/>
                    <a:cs typeface="Times New Roman" panose="02020603050405020304" pitchFamily="18" charset="0"/>
                  </a:defRPr>
                </a:pPr>
                <a:r>
                  <a:rPr lang="en-US">
                    <a:solidFill>
                      <a:schemeClr val="accent2">
                        <a:lumMod val="75000"/>
                      </a:schemeClr>
                    </a:solidFill>
                  </a:rPr>
                  <a:t>nDIC</a:t>
                </a:r>
              </a:p>
              <a:p>
                <a:pPr>
                  <a:defRPr>
                    <a:solidFill>
                      <a:schemeClr val="accent2">
                        <a:lumMod val="75000"/>
                      </a:schemeClr>
                    </a:solidFill>
                  </a:defRPr>
                </a:pPr>
                <a:r>
                  <a:rPr lang="en-US">
                    <a:solidFill>
                      <a:schemeClr val="accent2">
                        <a:lumMod val="75000"/>
                      </a:schemeClr>
                    </a:solidFill>
                  </a:rPr>
                  <a:t>(µmol*kg-1)</a:t>
                </a:r>
              </a:p>
            </c:rich>
          </c:tx>
          <c:overlay val="0"/>
          <c:spPr>
            <a:noFill/>
            <a:ln>
              <a:noFill/>
            </a:ln>
            <a:effectLst/>
          </c:spPr>
          <c:txPr>
            <a:bodyPr rot="5400000" spcFirstLastPara="1" vertOverflow="ellipsis" wrap="square" anchor="ctr" anchorCtr="1"/>
            <a:lstStyle/>
            <a:p>
              <a:pPr>
                <a:defRPr sz="1400" b="1" i="0" u="none" strike="noStrike" kern="1200" baseline="0">
                  <a:solidFill>
                    <a:schemeClr val="accent2">
                      <a:lumMod val="75000"/>
                    </a:schemeClr>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accent2">
                    <a:lumMod val="75000"/>
                  </a:schemeClr>
                </a:solidFill>
                <a:latin typeface="Times New Roman" panose="02020603050405020304" pitchFamily="18" charset="0"/>
                <a:ea typeface="+mn-ea"/>
                <a:cs typeface="Times New Roman" panose="02020603050405020304" pitchFamily="18" charset="0"/>
              </a:defRPr>
            </a:pPr>
            <a:endParaRPr lang="en-US"/>
          </a:p>
        </c:txPr>
        <c:crossAx val="478748768"/>
        <c:crosses val="max"/>
        <c:crossBetween val="midCat"/>
      </c:valAx>
      <c:valAx>
        <c:axId val="478748768"/>
        <c:scaling>
          <c:orientation val="minMax"/>
        </c:scaling>
        <c:delete val="1"/>
        <c:axPos val="b"/>
        <c:numFmt formatCode="h:mm;@" sourceLinked="1"/>
        <c:majorTickMark val="out"/>
        <c:minorTickMark val="none"/>
        <c:tickLblPos val="nextTo"/>
        <c:crossAx val="423267824"/>
        <c:crosses val="autoZero"/>
        <c:crossBetween val="midCat"/>
      </c:valAx>
      <c:spPr>
        <a:noFill/>
        <a:ln>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b="1">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25400" cap="rnd">
              <a:noFill/>
              <a:round/>
            </a:ln>
            <a:effectLst/>
          </c:spPr>
          <c:marker>
            <c:symbol val="circle"/>
            <c:size val="8"/>
            <c:spPr>
              <a:solidFill>
                <a:schemeClr val="accent6">
                  <a:lumMod val="75000"/>
                </a:schemeClr>
              </a:solidFill>
              <a:ln w="9525">
                <a:noFill/>
              </a:ln>
              <a:effectLst/>
            </c:spPr>
          </c:marker>
          <c:errBars>
            <c:errDir val="y"/>
            <c:errBarType val="both"/>
            <c:errValType val="fixedVal"/>
            <c:noEndCap val="0"/>
            <c:val val="4"/>
            <c:spPr>
              <a:noFill/>
              <a:ln w="9525" cap="flat" cmpd="sng" algn="ctr">
                <a:solidFill>
                  <a:schemeClr val="tx1">
                    <a:lumMod val="65000"/>
                    <a:lumOff val="35000"/>
                  </a:schemeClr>
                </a:solidFill>
                <a:round/>
              </a:ln>
              <a:effectLst/>
            </c:spPr>
          </c:errBars>
          <c:xVal>
            <c:numRef>
              <c:f>'All Experimental Diel Data'!$A$52:$A$65</c:f>
              <c:numCache>
                <c:formatCode>h:mm;@</c:formatCode>
                <c:ptCount val="14"/>
                <c:pt idx="0">
                  <c:v>42817.4375</c:v>
                </c:pt>
                <c:pt idx="1">
                  <c:v>42817.5</c:v>
                </c:pt>
                <c:pt idx="2">
                  <c:v>42817.583333333336</c:v>
                </c:pt>
                <c:pt idx="3">
                  <c:v>42817.666666666672</c:v>
                </c:pt>
                <c:pt idx="4">
                  <c:v>42817.750000000007</c:v>
                </c:pt>
                <c:pt idx="5">
                  <c:v>42817.833333333343</c:v>
                </c:pt>
                <c:pt idx="6">
                  <c:v>42817.916666666679</c:v>
                </c:pt>
                <c:pt idx="7">
                  <c:v>42818.000000000015</c:v>
                </c:pt>
                <c:pt idx="8">
                  <c:v>42818.08333333335</c:v>
                </c:pt>
                <c:pt idx="9">
                  <c:v>42818.250000000015</c:v>
                </c:pt>
                <c:pt idx="10">
                  <c:v>42818.33333333335</c:v>
                </c:pt>
                <c:pt idx="11">
                  <c:v>42818.416666666686</c:v>
                </c:pt>
                <c:pt idx="12">
                  <c:v>42818.500000000022</c:v>
                </c:pt>
                <c:pt idx="13">
                  <c:v>42818.583333333358</c:v>
                </c:pt>
              </c:numCache>
            </c:numRef>
          </c:xVal>
          <c:yVal>
            <c:numRef>
              <c:f>'All Experimental Diel Data'!$P$52:$P$65</c:f>
              <c:numCache>
                <c:formatCode>0.00</c:formatCode>
                <c:ptCount val="14"/>
                <c:pt idx="0">
                  <c:v>212.72841449527766</c:v>
                </c:pt>
                <c:pt idx="1">
                  <c:v>246.97147027120369</c:v>
                </c:pt>
                <c:pt idx="2">
                  <c:v>260.22615100673943</c:v>
                </c:pt>
                <c:pt idx="3">
                  <c:v>271.094701638505</c:v>
                </c:pt>
                <c:pt idx="4">
                  <c:v>239.88415763908597</c:v>
                </c:pt>
                <c:pt idx="5">
                  <c:v>193.05723017317678</c:v>
                </c:pt>
                <c:pt idx="6">
                  <c:v>157.03591930822896</c:v>
                </c:pt>
                <c:pt idx="7">
                  <c:v>153.21755119097367</c:v>
                </c:pt>
                <c:pt idx="8">
                  <c:v>148.36055433892241</c:v>
                </c:pt>
                <c:pt idx="9">
                  <c:v>146.97165282010604</c:v>
                </c:pt>
                <c:pt idx="10">
                  <c:v>161.56617350276275</c:v>
                </c:pt>
                <c:pt idx="11">
                  <c:v>209.6221809690536</c:v>
                </c:pt>
                <c:pt idx="12">
                  <c:v>250.38971521453539</c:v>
                </c:pt>
                <c:pt idx="13">
                  <c:v>260.59820616072193</c:v>
                </c:pt>
              </c:numCache>
            </c:numRef>
          </c:yVal>
          <c:smooth val="0"/>
          <c:extLst>
            <c:ext xmlns:c16="http://schemas.microsoft.com/office/drawing/2014/chart" uri="{C3380CC4-5D6E-409C-BE32-E72D297353CC}">
              <c16:uniqueId val="{00000000-BBCA-DB42-9896-FA656C29657D}"/>
            </c:ext>
          </c:extLst>
        </c:ser>
        <c:dLbls>
          <c:showLegendKey val="0"/>
          <c:showVal val="0"/>
          <c:showCatName val="0"/>
          <c:showSerName val="0"/>
          <c:showPercent val="0"/>
          <c:showBubbleSize val="0"/>
        </c:dLbls>
        <c:axId val="424093136"/>
        <c:axId val="424196800"/>
      </c:scatterChart>
      <c:scatterChart>
        <c:scatterStyle val="lineMarker"/>
        <c:varyColors val="0"/>
        <c:ser>
          <c:idx val="1"/>
          <c:order val="1"/>
          <c:spPr>
            <a:ln w="25400" cap="rnd">
              <a:noFill/>
              <a:round/>
            </a:ln>
            <a:effectLst/>
          </c:spPr>
          <c:marker>
            <c:symbol val="circle"/>
            <c:size val="8"/>
            <c:spPr>
              <a:solidFill>
                <a:schemeClr val="accent2">
                  <a:lumMod val="75000"/>
                </a:schemeClr>
              </a:solidFill>
              <a:ln w="9525">
                <a:solidFill>
                  <a:schemeClr val="accent2"/>
                </a:solidFill>
              </a:ln>
              <a:effectLst/>
            </c:spPr>
          </c:marker>
          <c:errBars>
            <c:errDir val="y"/>
            <c:errBarType val="both"/>
            <c:errValType val="fixedVal"/>
            <c:noEndCap val="0"/>
            <c:val val="3.7"/>
            <c:spPr>
              <a:noFill/>
              <a:ln w="9525" cap="flat" cmpd="sng" algn="ctr">
                <a:solidFill>
                  <a:schemeClr val="tx1">
                    <a:lumMod val="65000"/>
                    <a:lumOff val="35000"/>
                  </a:schemeClr>
                </a:solidFill>
                <a:round/>
              </a:ln>
              <a:effectLst/>
            </c:spPr>
          </c:errBars>
          <c:xVal>
            <c:numRef>
              <c:f>'All Experimental Diel Data'!$A$52:$A$65</c:f>
              <c:numCache>
                <c:formatCode>h:mm;@</c:formatCode>
                <c:ptCount val="14"/>
                <c:pt idx="0">
                  <c:v>42817.4375</c:v>
                </c:pt>
                <c:pt idx="1">
                  <c:v>42817.5</c:v>
                </c:pt>
                <c:pt idx="2">
                  <c:v>42817.583333333336</c:v>
                </c:pt>
                <c:pt idx="3">
                  <c:v>42817.666666666672</c:v>
                </c:pt>
                <c:pt idx="4">
                  <c:v>42817.750000000007</c:v>
                </c:pt>
                <c:pt idx="5">
                  <c:v>42817.833333333343</c:v>
                </c:pt>
                <c:pt idx="6">
                  <c:v>42817.916666666679</c:v>
                </c:pt>
                <c:pt idx="7">
                  <c:v>42818.000000000015</c:v>
                </c:pt>
                <c:pt idx="8">
                  <c:v>42818.08333333335</c:v>
                </c:pt>
                <c:pt idx="9">
                  <c:v>42818.250000000015</c:v>
                </c:pt>
                <c:pt idx="10">
                  <c:v>42818.33333333335</c:v>
                </c:pt>
                <c:pt idx="11">
                  <c:v>42818.416666666686</c:v>
                </c:pt>
                <c:pt idx="12">
                  <c:v>42818.500000000022</c:v>
                </c:pt>
                <c:pt idx="13">
                  <c:v>42818.583333333358</c:v>
                </c:pt>
              </c:numCache>
            </c:numRef>
          </c:xVal>
          <c:yVal>
            <c:numRef>
              <c:f>'All Experimental Diel Data'!$H$52:$H$65</c:f>
              <c:numCache>
                <c:formatCode>0.00</c:formatCode>
                <c:ptCount val="14"/>
                <c:pt idx="0">
                  <c:v>1951.9025051912383</c:v>
                </c:pt>
                <c:pt idx="1">
                  <c:v>1891.858847056923</c:v>
                </c:pt>
                <c:pt idx="2">
                  <c:v>1865.6570321438414</c:v>
                </c:pt>
                <c:pt idx="3">
                  <c:v>1819.7049633708295</c:v>
                </c:pt>
                <c:pt idx="4">
                  <c:v>1854.9364035453768</c:v>
                </c:pt>
                <c:pt idx="5">
                  <c:v>1950.9529733972374</c:v>
                </c:pt>
                <c:pt idx="6">
                  <c:v>2015.7197224897964</c:v>
                </c:pt>
                <c:pt idx="7">
                  <c:v>2021.0051817801918</c:v>
                </c:pt>
                <c:pt idx="8">
                  <c:v>2036.4414316521506</c:v>
                </c:pt>
                <c:pt idx="9">
                  <c:v>2041.8931240345678</c:v>
                </c:pt>
                <c:pt idx="10">
                  <c:v>2010.6445183649041</c:v>
                </c:pt>
                <c:pt idx="11">
                  <c:v>1952.8528885412984</c:v>
                </c:pt>
                <c:pt idx="12">
                  <c:v>1885.0612322148247</c:v>
                </c:pt>
                <c:pt idx="13">
                  <c:v>1855.9482497126683</c:v>
                </c:pt>
              </c:numCache>
            </c:numRef>
          </c:yVal>
          <c:smooth val="0"/>
          <c:extLst>
            <c:ext xmlns:c16="http://schemas.microsoft.com/office/drawing/2014/chart" uri="{C3380CC4-5D6E-409C-BE32-E72D297353CC}">
              <c16:uniqueId val="{00000001-BBCA-DB42-9896-FA656C29657D}"/>
            </c:ext>
          </c:extLst>
        </c:ser>
        <c:dLbls>
          <c:showLegendKey val="0"/>
          <c:showVal val="0"/>
          <c:showCatName val="0"/>
          <c:showSerName val="0"/>
          <c:showPercent val="0"/>
          <c:showBubbleSize val="0"/>
        </c:dLbls>
        <c:axId val="478748768"/>
        <c:axId val="423267824"/>
      </c:scatterChart>
      <c:valAx>
        <c:axId val="424093136"/>
        <c:scaling>
          <c:orientation val="minMax"/>
          <c:max val="42818.5"/>
        </c:scaling>
        <c:delete val="0"/>
        <c:axPos val="b"/>
        <c:numFmt formatCode="h:mm;@" sourceLinked="1"/>
        <c:majorTickMark val="cross"/>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424196800"/>
        <c:crosses val="autoZero"/>
        <c:crossBetween val="midCat"/>
        <c:majorUnit val="0.16666666666667002"/>
      </c:valAx>
      <c:valAx>
        <c:axId val="424196800"/>
        <c:scaling>
          <c:orientation val="minMax"/>
          <c:min val="140"/>
        </c:scaling>
        <c:delete val="0"/>
        <c:axPos val="l"/>
        <c:title>
          <c:tx>
            <c:rich>
              <a:bodyPr rot="-5400000" spcFirstLastPara="1" vertOverflow="ellipsis" vert="horz" wrap="square" anchor="ctr" anchorCtr="1"/>
              <a:lstStyle/>
              <a:p>
                <a:pPr>
                  <a:defRPr sz="1400" b="1" i="0" u="none" strike="noStrike" kern="1200" baseline="0">
                    <a:solidFill>
                      <a:schemeClr val="accent6">
                        <a:lumMod val="75000"/>
                      </a:schemeClr>
                    </a:solidFill>
                    <a:latin typeface="Times New Roman" panose="02020603050405020304" pitchFamily="18" charset="0"/>
                    <a:ea typeface="+mn-ea"/>
                    <a:cs typeface="Times New Roman" panose="02020603050405020304" pitchFamily="18" charset="0"/>
                  </a:defRPr>
                </a:pPr>
                <a:r>
                  <a:rPr lang="en-US">
                    <a:solidFill>
                      <a:schemeClr val="accent6">
                        <a:lumMod val="75000"/>
                      </a:schemeClr>
                    </a:solidFill>
                  </a:rPr>
                  <a:t>nO2</a:t>
                </a:r>
              </a:p>
              <a:p>
                <a:pPr>
                  <a:defRPr>
                    <a:solidFill>
                      <a:schemeClr val="accent6">
                        <a:lumMod val="75000"/>
                      </a:schemeClr>
                    </a:solidFill>
                  </a:defRPr>
                </a:pPr>
                <a:r>
                  <a:rPr lang="en-US">
                    <a:solidFill>
                      <a:schemeClr val="accent6">
                        <a:lumMod val="75000"/>
                      </a:schemeClr>
                    </a:solidFill>
                  </a:rPr>
                  <a:t>(µmol*kg-1)</a:t>
                </a:r>
              </a:p>
            </c:rich>
          </c:tx>
          <c:overlay val="0"/>
          <c:spPr>
            <a:noFill/>
            <a:ln>
              <a:noFill/>
            </a:ln>
            <a:effectLst/>
          </c:spPr>
          <c:txPr>
            <a:bodyPr rot="-5400000" spcFirstLastPara="1" vertOverflow="ellipsis" vert="horz" wrap="square" anchor="ctr" anchorCtr="1"/>
            <a:lstStyle/>
            <a:p>
              <a:pPr>
                <a:defRPr sz="1400" b="1" i="0" u="none" strike="noStrike" kern="1200" baseline="0">
                  <a:solidFill>
                    <a:schemeClr val="accent6">
                      <a:lumMod val="75000"/>
                    </a:schemeClr>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accent6">
                    <a:lumMod val="75000"/>
                  </a:schemeClr>
                </a:solidFill>
                <a:latin typeface="Times New Roman" panose="02020603050405020304" pitchFamily="18" charset="0"/>
                <a:ea typeface="+mn-ea"/>
                <a:cs typeface="Times New Roman" panose="02020603050405020304" pitchFamily="18" charset="0"/>
              </a:defRPr>
            </a:pPr>
            <a:endParaRPr lang="en-US"/>
          </a:p>
        </c:txPr>
        <c:crossAx val="424093136"/>
        <c:crosses val="autoZero"/>
        <c:crossBetween val="midCat"/>
      </c:valAx>
      <c:valAx>
        <c:axId val="423267824"/>
        <c:scaling>
          <c:orientation val="minMax"/>
          <c:max val="2100"/>
          <c:min val="1800"/>
        </c:scaling>
        <c:delete val="0"/>
        <c:axPos val="r"/>
        <c:title>
          <c:tx>
            <c:rich>
              <a:bodyPr rot="5400000" spcFirstLastPara="1" vertOverflow="ellipsis" wrap="square" anchor="ctr" anchorCtr="1"/>
              <a:lstStyle/>
              <a:p>
                <a:pPr>
                  <a:defRPr sz="1400" b="1" i="0" u="none" strike="noStrike" kern="1200" baseline="0">
                    <a:solidFill>
                      <a:schemeClr val="accent2">
                        <a:lumMod val="75000"/>
                      </a:schemeClr>
                    </a:solidFill>
                    <a:latin typeface="Times New Roman" panose="02020603050405020304" pitchFamily="18" charset="0"/>
                    <a:ea typeface="+mn-ea"/>
                    <a:cs typeface="Times New Roman" panose="02020603050405020304" pitchFamily="18" charset="0"/>
                  </a:defRPr>
                </a:pPr>
                <a:r>
                  <a:rPr lang="en-US">
                    <a:solidFill>
                      <a:schemeClr val="accent2">
                        <a:lumMod val="75000"/>
                      </a:schemeClr>
                    </a:solidFill>
                  </a:rPr>
                  <a:t>nDIC</a:t>
                </a:r>
              </a:p>
              <a:p>
                <a:pPr>
                  <a:defRPr>
                    <a:solidFill>
                      <a:schemeClr val="accent2">
                        <a:lumMod val="75000"/>
                      </a:schemeClr>
                    </a:solidFill>
                  </a:defRPr>
                </a:pPr>
                <a:r>
                  <a:rPr lang="en-US">
                    <a:solidFill>
                      <a:schemeClr val="accent2">
                        <a:lumMod val="75000"/>
                      </a:schemeClr>
                    </a:solidFill>
                  </a:rPr>
                  <a:t>(µmol*kg-1)</a:t>
                </a:r>
              </a:p>
            </c:rich>
          </c:tx>
          <c:overlay val="0"/>
          <c:spPr>
            <a:noFill/>
            <a:ln>
              <a:noFill/>
            </a:ln>
            <a:effectLst/>
          </c:spPr>
          <c:txPr>
            <a:bodyPr rot="5400000" spcFirstLastPara="1" vertOverflow="ellipsis" wrap="square" anchor="ctr" anchorCtr="1"/>
            <a:lstStyle/>
            <a:p>
              <a:pPr>
                <a:defRPr sz="1400" b="1" i="0" u="none" strike="noStrike" kern="1200" baseline="0">
                  <a:solidFill>
                    <a:schemeClr val="accent2">
                      <a:lumMod val="75000"/>
                    </a:schemeClr>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accent2">
                    <a:lumMod val="75000"/>
                  </a:schemeClr>
                </a:solidFill>
                <a:latin typeface="Times New Roman" panose="02020603050405020304" pitchFamily="18" charset="0"/>
                <a:ea typeface="+mn-ea"/>
                <a:cs typeface="Times New Roman" panose="02020603050405020304" pitchFamily="18" charset="0"/>
              </a:defRPr>
            </a:pPr>
            <a:endParaRPr lang="en-US"/>
          </a:p>
        </c:txPr>
        <c:crossAx val="478748768"/>
        <c:crosses val="max"/>
        <c:crossBetween val="midCat"/>
      </c:valAx>
      <c:valAx>
        <c:axId val="478748768"/>
        <c:scaling>
          <c:orientation val="minMax"/>
        </c:scaling>
        <c:delete val="1"/>
        <c:axPos val="b"/>
        <c:numFmt formatCode="h:mm;@" sourceLinked="1"/>
        <c:majorTickMark val="out"/>
        <c:minorTickMark val="none"/>
        <c:tickLblPos val="nextTo"/>
        <c:crossAx val="423267824"/>
        <c:crosses val="autoZero"/>
        <c:crossBetween val="midCat"/>
      </c:valAx>
      <c:spPr>
        <a:noFill/>
        <a:ln>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b="1">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25400" cap="rnd">
              <a:noFill/>
              <a:round/>
            </a:ln>
            <a:effectLst/>
          </c:spPr>
          <c:marker>
            <c:symbol val="circle"/>
            <c:size val="8"/>
            <c:spPr>
              <a:solidFill>
                <a:srgbClr val="00B0F0"/>
              </a:solidFill>
              <a:ln w="9525">
                <a:noFill/>
              </a:ln>
              <a:effectLst/>
            </c:spPr>
          </c:marker>
          <c:errBars>
            <c:errDir val="y"/>
            <c:errBarType val="both"/>
            <c:errValType val="fixedVal"/>
            <c:noEndCap val="0"/>
            <c:val val="4.3"/>
            <c:spPr>
              <a:noFill/>
              <a:ln w="9525" cap="flat" cmpd="sng" algn="ctr">
                <a:solidFill>
                  <a:schemeClr val="tx1">
                    <a:lumMod val="65000"/>
                    <a:lumOff val="35000"/>
                  </a:schemeClr>
                </a:solidFill>
                <a:round/>
              </a:ln>
              <a:effectLst/>
            </c:spPr>
          </c:errBars>
          <c:xVal>
            <c:numRef>
              <c:f>'All Experimental Diel Data'!$A$52:$A$65</c:f>
              <c:numCache>
                <c:formatCode>h:mm;@</c:formatCode>
                <c:ptCount val="14"/>
                <c:pt idx="0">
                  <c:v>42817.4375</c:v>
                </c:pt>
                <c:pt idx="1">
                  <c:v>42817.5</c:v>
                </c:pt>
                <c:pt idx="2">
                  <c:v>42817.583333333336</c:v>
                </c:pt>
                <c:pt idx="3">
                  <c:v>42817.666666666672</c:v>
                </c:pt>
                <c:pt idx="4">
                  <c:v>42817.750000000007</c:v>
                </c:pt>
                <c:pt idx="5">
                  <c:v>42817.833333333343</c:v>
                </c:pt>
                <c:pt idx="6">
                  <c:v>42817.916666666679</c:v>
                </c:pt>
                <c:pt idx="7">
                  <c:v>42818.000000000015</c:v>
                </c:pt>
                <c:pt idx="8">
                  <c:v>42818.08333333335</c:v>
                </c:pt>
                <c:pt idx="9">
                  <c:v>42818.250000000015</c:v>
                </c:pt>
                <c:pt idx="10">
                  <c:v>42818.33333333335</c:v>
                </c:pt>
                <c:pt idx="11">
                  <c:v>42818.416666666686</c:v>
                </c:pt>
                <c:pt idx="12">
                  <c:v>42818.500000000022</c:v>
                </c:pt>
                <c:pt idx="13">
                  <c:v>42818.583333333358</c:v>
                </c:pt>
              </c:numCache>
            </c:numRef>
          </c:xVal>
          <c:yVal>
            <c:numRef>
              <c:f>'All Experimental Diel Data'!$E$52:$E$65</c:f>
              <c:numCache>
                <c:formatCode>0.00</c:formatCode>
                <c:ptCount val="14"/>
                <c:pt idx="0">
                  <c:v>2276.0883180387168</c:v>
                </c:pt>
                <c:pt idx="1">
                  <c:v>2273.8965376055971</c:v>
                </c:pt>
                <c:pt idx="2">
                  <c:v>2255.2374669082956</c:v>
                </c:pt>
                <c:pt idx="3">
                  <c:v>2239.8308352786348</c:v>
                </c:pt>
                <c:pt idx="4">
                  <c:v>2263.2013553890069</c:v>
                </c:pt>
                <c:pt idx="5">
                  <c:v>2302.5183280172341</c:v>
                </c:pt>
                <c:pt idx="6">
                  <c:v>2327.8352645088721</c:v>
                </c:pt>
                <c:pt idx="7">
                  <c:v>2300.2948600083573</c:v>
                </c:pt>
                <c:pt idx="8">
                  <c:v>2317.4703689463213</c:v>
                </c:pt>
                <c:pt idx="9">
                  <c:v>2304.3622093265976</c:v>
                </c:pt>
                <c:pt idx="10">
                  <c:v>2312.9011677267604</c:v>
                </c:pt>
                <c:pt idx="11">
                  <c:v>2265.6358631668886</c:v>
                </c:pt>
                <c:pt idx="12">
                  <c:v>2270.9272227293977</c:v>
                </c:pt>
                <c:pt idx="13">
                  <c:v>2251.2638969669479</c:v>
                </c:pt>
              </c:numCache>
            </c:numRef>
          </c:yVal>
          <c:smooth val="0"/>
          <c:extLst>
            <c:ext xmlns:c16="http://schemas.microsoft.com/office/drawing/2014/chart" uri="{C3380CC4-5D6E-409C-BE32-E72D297353CC}">
              <c16:uniqueId val="{00000000-BBCA-DB42-9896-FA656C29657D}"/>
            </c:ext>
          </c:extLst>
        </c:ser>
        <c:dLbls>
          <c:showLegendKey val="0"/>
          <c:showVal val="0"/>
          <c:showCatName val="0"/>
          <c:showSerName val="0"/>
          <c:showPercent val="0"/>
          <c:showBubbleSize val="0"/>
        </c:dLbls>
        <c:axId val="424093136"/>
        <c:axId val="424196800"/>
      </c:scatterChart>
      <c:scatterChart>
        <c:scatterStyle val="lineMarker"/>
        <c:varyColors val="0"/>
        <c:ser>
          <c:idx val="1"/>
          <c:order val="1"/>
          <c:spPr>
            <a:ln w="25400" cap="rnd">
              <a:noFill/>
              <a:round/>
            </a:ln>
            <a:effectLst/>
          </c:spPr>
          <c:marker>
            <c:symbol val="circle"/>
            <c:size val="8"/>
            <c:spPr>
              <a:solidFill>
                <a:schemeClr val="accent2">
                  <a:lumMod val="75000"/>
                </a:schemeClr>
              </a:solidFill>
              <a:ln w="9525">
                <a:solidFill>
                  <a:schemeClr val="accent2"/>
                </a:solidFill>
              </a:ln>
              <a:effectLst/>
            </c:spPr>
          </c:marker>
          <c:errBars>
            <c:errDir val="y"/>
            <c:errBarType val="both"/>
            <c:errValType val="fixedVal"/>
            <c:noEndCap val="0"/>
            <c:val val="3.7"/>
            <c:spPr>
              <a:noFill/>
              <a:ln w="9525" cap="flat" cmpd="sng" algn="ctr">
                <a:solidFill>
                  <a:schemeClr val="tx1">
                    <a:lumMod val="65000"/>
                    <a:lumOff val="35000"/>
                  </a:schemeClr>
                </a:solidFill>
                <a:round/>
              </a:ln>
              <a:effectLst/>
            </c:spPr>
          </c:errBars>
          <c:xVal>
            <c:numRef>
              <c:f>'All Experimental Diel Data'!$A$52:$A$65</c:f>
              <c:numCache>
                <c:formatCode>h:mm;@</c:formatCode>
                <c:ptCount val="14"/>
                <c:pt idx="0">
                  <c:v>42817.4375</c:v>
                </c:pt>
                <c:pt idx="1">
                  <c:v>42817.5</c:v>
                </c:pt>
                <c:pt idx="2">
                  <c:v>42817.583333333336</c:v>
                </c:pt>
                <c:pt idx="3">
                  <c:v>42817.666666666672</c:v>
                </c:pt>
                <c:pt idx="4">
                  <c:v>42817.750000000007</c:v>
                </c:pt>
                <c:pt idx="5">
                  <c:v>42817.833333333343</c:v>
                </c:pt>
                <c:pt idx="6">
                  <c:v>42817.916666666679</c:v>
                </c:pt>
                <c:pt idx="7">
                  <c:v>42818.000000000015</c:v>
                </c:pt>
                <c:pt idx="8">
                  <c:v>42818.08333333335</c:v>
                </c:pt>
                <c:pt idx="9">
                  <c:v>42818.250000000015</c:v>
                </c:pt>
                <c:pt idx="10">
                  <c:v>42818.33333333335</c:v>
                </c:pt>
                <c:pt idx="11">
                  <c:v>42818.416666666686</c:v>
                </c:pt>
                <c:pt idx="12">
                  <c:v>42818.500000000022</c:v>
                </c:pt>
                <c:pt idx="13">
                  <c:v>42818.583333333358</c:v>
                </c:pt>
              </c:numCache>
            </c:numRef>
          </c:xVal>
          <c:yVal>
            <c:numRef>
              <c:f>'All Experimental Diel Data'!$H$52:$H$65</c:f>
              <c:numCache>
                <c:formatCode>0.00</c:formatCode>
                <c:ptCount val="14"/>
                <c:pt idx="0">
                  <c:v>1951.9025051912383</c:v>
                </c:pt>
                <c:pt idx="1">
                  <c:v>1891.858847056923</c:v>
                </c:pt>
                <c:pt idx="2">
                  <c:v>1865.6570321438414</c:v>
                </c:pt>
                <c:pt idx="3">
                  <c:v>1819.7049633708295</c:v>
                </c:pt>
                <c:pt idx="4">
                  <c:v>1854.9364035453768</c:v>
                </c:pt>
                <c:pt idx="5">
                  <c:v>1950.9529733972374</c:v>
                </c:pt>
                <c:pt idx="6">
                  <c:v>2015.7197224897964</c:v>
                </c:pt>
                <c:pt idx="7">
                  <c:v>2021.0051817801918</c:v>
                </c:pt>
                <c:pt idx="8">
                  <c:v>2036.4414316521506</c:v>
                </c:pt>
                <c:pt idx="9">
                  <c:v>2041.8931240345678</c:v>
                </c:pt>
                <c:pt idx="10">
                  <c:v>2010.6445183649041</c:v>
                </c:pt>
                <c:pt idx="11">
                  <c:v>1952.8528885412984</c:v>
                </c:pt>
                <c:pt idx="12">
                  <c:v>1885.0612322148247</c:v>
                </c:pt>
                <c:pt idx="13">
                  <c:v>1855.9482497126683</c:v>
                </c:pt>
              </c:numCache>
            </c:numRef>
          </c:yVal>
          <c:smooth val="0"/>
          <c:extLst>
            <c:ext xmlns:c16="http://schemas.microsoft.com/office/drawing/2014/chart" uri="{C3380CC4-5D6E-409C-BE32-E72D297353CC}">
              <c16:uniqueId val="{00000001-BBCA-DB42-9896-FA656C29657D}"/>
            </c:ext>
          </c:extLst>
        </c:ser>
        <c:dLbls>
          <c:showLegendKey val="0"/>
          <c:showVal val="0"/>
          <c:showCatName val="0"/>
          <c:showSerName val="0"/>
          <c:showPercent val="0"/>
          <c:showBubbleSize val="0"/>
        </c:dLbls>
        <c:axId val="478748768"/>
        <c:axId val="423267824"/>
      </c:scatterChart>
      <c:valAx>
        <c:axId val="424093136"/>
        <c:scaling>
          <c:orientation val="minMax"/>
          <c:max val="42818.5"/>
        </c:scaling>
        <c:delete val="0"/>
        <c:axPos val="b"/>
        <c:numFmt formatCode="h:mm;@" sourceLinked="1"/>
        <c:majorTickMark val="cross"/>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424196800"/>
        <c:crosses val="autoZero"/>
        <c:crossBetween val="midCat"/>
        <c:majorUnit val="0.16666666666667002"/>
      </c:valAx>
      <c:valAx>
        <c:axId val="424196800"/>
        <c:scaling>
          <c:orientation val="minMax"/>
          <c:max val="2350"/>
          <c:min val="2230"/>
        </c:scaling>
        <c:delete val="0"/>
        <c:axPos val="l"/>
        <c:title>
          <c:tx>
            <c:rich>
              <a:bodyPr rot="-5400000" spcFirstLastPara="1" vertOverflow="ellipsis" vert="horz" wrap="square" anchor="ctr" anchorCtr="1"/>
              <a:lstStyle/>
              <a:p>
                <a:pPr>
                  <a:defRPr sz="1400" b="1" i="0" u="none" strike="noStrike" kern="1200" baseline="0">
                    <a:solidFill>
                      <a:srgbClr val="00B0F0"/>
                    </a:solidFill>
                    <a:latin typeface="Times New Roman" panose="02020603050405020304" pitchFamily="18" charset="0"/>
                    <a:ea typeface="+mn-ea"/>
                    <a:cs typeface="Times New Roman" panose="02020603050405020304" pitchFamily="18" charset="0"/>
                  </a:defRPr>
                </a:pPr>
                <a:r>
                  <a:rPr lang="en-US">
                    <a:solidFill>
                      <a:srgbClr val="00B0F0"/>
                    </a:solidFill>
                  </a:rPr>
                  <a:t>nTA</a:t>
                </a:r>
              </a:p>
              <a:p>
                <a:pPr>
                  <a:defRPr>
                    <a:solidFill>
                      <a:srgbClr val="00B0F0"/>
                    </a:solidFill>
                  </a:defRPr>
                </a:pPr>
                <a:r>
                  <a:rPr lang="en-US">
                    <a:solidFill>
                      <a:srgbClr val="00B0F0"/>
                    </a:solidFill>
                  </a:rPr>
                  <a:t>(µmol*kg-1)</a:t>
                </a:r>
              </a:p>
            </c:rich>
          </c:tx>
          <c:overlay val="0"/>
          <c:spPr>
            <a:noFill/>
            <a:ln>
              <a:noFill/>
            </a:ln>
            <a:effectLst/>
          </c:spPr>
          <c:txPr>
            <a:bodyPr rot="-5400000" spcFirstLastPara="1" vertOverflow="ellipsis" vert="horz" wrap="square" anchor="ctr" anchorCtr="1"/>
            <a:lstStyle/>
            <a:p>
              <a:pPr>
                <a:defRPr sz="1400" b="1" i="0" u="none" strike="noStrike" kern="1200" baseline="0">
                  <a:solidFill>
                    <a:srgbClr val="00B0F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rgbClr val="00B0F0"/>
                </a:solidFill>
                <a:latin typeface="Times New Roman" panose="02020603050405020304" pitchFamily="18" charset="0"/>
                <a:ea typeface="+mn-ea"/>
                <a:cs typeface="Times New Roman" panose="02020603050405020304" pitchFamily="18" charset="0"/>
              </a:defRPr>
            </a:pPr>
            <a:endParaRPr lang="en-US"/>
          </a:p>
        </c:txPr>
        <c:crossAx val="424093136"/>
        <c:crosses val="autoZero"/>
        <c:crossBetween val="midCat"/>
      </c:valAx>
      <c:valAx>
        <c:axId val="423267824"/>
        <c:scaling>
          <c:orientation val="minMax"/>
          <c:max val="2100"/>
          <c:min val="1800"/>
        </c:scaling>
        <c:delete val="0"/>
        <c:axPos val="r"/>
        <c:title>
          <c:tx>
            <c:rich>
              <a:bodyPr rot="5400000" spcFirstLastPara="1" vertOverflow="ellipsis" wrap="square" anchor="ctr" anchorCtr="1"/>
              <a:lstStyle/>
              <a:p>
                <a:pPr>
                  <a:defRPr sz="1400" b="1" i="0" u="none" strike="noStrike" kern="1200" baseline="0">
                    <a:solidFill>
                      <a:schemeClr val="accent2">
                        <a:lumMod val="75000"/>
                      </a:schemeClr>
                    </a:solidFill>
                    <a:latin typeface="Times New Roman" panose="02020603050405020304" pitchFamily="18" charset="0"/>
                    <a:ea typeface="+mn-ea"/>
                    <a:cs typeface="Times New Roman" panose="02020603050405020304" pitchFamily="18" charset="0"/>
                  </a:defRPr>
                </a:pPr>
                <a:r>
                  <a:rPr lang="en-US">
                    <a:solidFill>
                      <a:schemeClr val="accent2">
                        <a:lumMod val="75000"/>
                      </a:schemeClr>
                    </a:solidFill>
                  </a:rPr>
                  <a:t>nDIC</a:t>
                </a:r>
              </a:p>
              <a:p>
                <a:pPr>
                  <a:defRPr>
                    <a:solidFill>
                      <a:schemeClr val="accent2">
                        <a:lumMod val="75000"/>
                      </a:schemeClr>
                    </a:solidFill>
                  </a:defRPr>
                </a:pPr>
                <a:r>
                  <a:rPr lang="en-US">
                    <a:solidFill>
                      <a:schemeClr val="accent2">
                        <a:lumMod val="75000"/>
                      </a:schemeClr>
                    </a:solidFill>
                  </a:rPr>
                  <a:t>(µmol*kg-1)</a:t>
                </a:r>
              </a:p>
            </c:rich>
          </c:tx>
          <c:overlay val="0"/>
          <c:spPr>
            <a:noFill/>
            <a:ln>
              <a:noFill/>
            </a:ln>
            <a:effectLst/>
          </c:spPr>
          <c:txPr>
            <a:bodyPr rot="5400000" spcFirstLastPara="1" vertOverflow="ellipsis" wrap="square" anchor="ctr" anchorCtr="1"/>
            <a:lstStyle/>
            <a:p>
              <a:pPr>
                <a:defRPr sz="1400" b="1" i="0" u="none" strike="noStrike" kern="1200" baseline="0">
                  <a:solidFill>
                    <a:schemeClr val="accent2">
                      <a:lumMod val="75000"/>
                    </a:schemeClr>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accent2">
                    <a:lumMod val="75000"/>
                  </a:schemeClr>
                </a:solidFill>
                <a:latin typeface="Times New Roman" panose="02020603050405020304" pitchFamily="18" charset="0"/>
                <a:ea typeface="+mn-ea"/>
                <a:cs typeface="Times New Roman" panose="02020603050405020304" pitchFamily="18" charset="0"/>
              </a:defRPr>
            </a:pPr>
            <a:endParaRPr lang="en-US"/>
          </a:p>
        </c:txPr>
        <c:crossAx val="478748768"/>
        <c:crosses val="max"/>
        <c:crossBetween val="midCat"/>
      </c:valAx>
      <c:valAx>
        <c:axId val="478748768"/>
        <c:scaling>
          <c:orientation val="minMax"/>
        </c:scaling>
        <c:delete val="1"/>
        <c:axPos val="b"/>
        <c:numFmt formatCode="h:mm;@" sourceLinked="1"/>
        <c:majorTickMark val="out"/>
        <c:minorTickMark val="none"/>
        <c:tickLblPos val="nextTo"/>
        <c:crossAx val="423267824"/>
        <c:crosses val="autoZero"/>
        <c:crossBetween val="midCat"/>
      </c:valAx>
      <c:spPr>
        <a:noFill/>
        <a:ln>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b="1">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Single Box Model</c:v>
          </c:tx>
          <c:spPr>
            <a:ln w="25400" cap="rnd">
              <a:noFill/>
              <a:round/>
            </a:ln>
            <a:effectLst/>
          </c:spPr>
          <c:marker>
            <c:symbol val="circle"/>
            <c:size val="7"/>
            <c:spPr>
              <a:solidFill>
                <a:schemeClr val="accent1"/>
              </a:solidFill>
              <a:ln w="9525">
                <a:noFill/>
              </a:ln>
              <a:effectLst/>
            </c:spPr>
          </c:marker>
          <c:trendline>
            <c:spPr>
              <a:ln w="38100" cap="rnd">
                <a:solidFill>
                  <a:schemeClr val="accent1"/>
                </a:solidFill>
                <a:prstDash val="solid"/>
                <a:headEnd type="triangle"/>
                <a:tailEnd type="triangle"/>
              </a:ln>
              <a:effectLst/>
            </c:spPr>
            <c:trendlineType val="linear"/>
            <c:dispRSqr val="1"/>
            <c:dispEq val="1"/>
            <c:trendlineLbl>
              <c:layout>
                <c:manualLayout>
                  <c:x val="8.4382080445072574E-2"/>
                  <c:y val="-0.6296652573600714"/>
                </c:manualLayout>
              </c:layout>
              <c:numFmt formatCode="#,##0.00" sourceLinked="0"/>
              <c:spPr>
                <a:noFill/>
                <a:ln>
                  <a:noFill/>
                </a:ln>
                <a:effectLst/>
              </c:spPr>
              <c:txPr>
                <a:bodyPr rot="0" spcFirstLastPara="1" vertOverflow="ellipsis" vert="horz" wrap="square" anchor="ctr" anchorCtr="1"/>
                <a:lstStyle/>
                <a:p>
                  <a:pPr>
                    <a:defRPr sz="1200" b="1" i="0" u="none" strike="noStrike" kern="1200" baseline="0">
                      <a:solidFill>
                        <a:schemeClr val="accent1"/>
                      </a:solidFill>
                      <a:latin typeface="Times New Roman" panose="02020603050405020304" pitchFamily="18" charset="0"/>
                      <a:ea typeface="+mn-ea"/>
                      <a:cs typeface="Times New Roman" panose="02020603050405020304" pitchFamily="18" charset="0"/>
                    </a:defRPr>
                  </a:pPr>
                  <a:endParaRPr lang="en-US"/>
                </a:p>
              </c:txPr>
            </c:trendlineLbl>
          </c:trendline>
          <c:xVal>
            <c:numRef>
              <c:f>'Single Box Model Fluxes'!$AC$27:$AC$38</c:f>
              <c:numCache>
                <c:formatCode>General</c:formatCode>
                <c:ptCount val="12"/>
                <c:pt idx="0">
                  <c:v>-19.563609006212641</c:v>
                </c:pt>
                <c:pt idx="1">
                  <c:v>-16.775297941273941</c:v>
                </c:pt>
                <c:pt idx="2">
                  <c:v>-18.070050504866781</c:v>
                </c:pt>
                <c:pt idx="3">
                  <c:v>-0.57434995656370447</c:v>
                </c:pt>
                <c:pt idx="4">
                  <c:v>-1.0656066217143121</c:v>
                </c:pt>
                <c:pt idx="5">
                  <c:v>22.615459967551757</c:v>
                </c:pt>
                <c:pt idx="6">
                  <c:v>13.503923130654751</c:v>
                </c:pt>
                <c:pt idx="7">
                  <c:v>-5.3033043540950278</c:v>
                </c:pt>
                <c:pt idx="8">
                  <c:v>1.4914085966935486</c:v>
                </c:pt>
                <c:pt idx="9">
                  <c:v>8.3278357588903003</c:v>
                </c:pt>
                <c:pt idx="10">
                  <c:v>-1.5653180784650205</c:v>
                </c:pt>
                <c:pt idx="11">
                  <c:v>-16.088848476611755</c:v>
                </c:pt>
              </c:numCache>
            </c:numRef>
          </c:xVal>
          <c:yVal>
            <c:numRef>
              <c:f>'Single Box Model Fluxes'!$F$27:$F$38</c:f>
              <c:numCache>
                <c:formatCode>General</c:formatCode>
                <c:ptCount val="12"/>
                <c:pt idx="0">
                  <c:v>14.934778752534919</c:v>
                </c:pt>
                <c:pt idx="1">
                  <c:v>13.360131443921373</c:v>
                </c:pt>
                <c:pt idx="2">
                  <c:v>13.359792346652977</c:v>
                </c:pt>
                <c:pt idx="3">
                  <c:v>-7.6959436637896488</c:v>
                </c:pt>
                <c:pt idx="4">
                  <c:v>-8.1709732953934253</c:v>
                </c:pt>
                <c:pt idx="5">
                  <c:v>-15.298886465492801</c:v>
                </c:pt>
                <c:pt idx="6">
                  <c:v>-7.0303375375407562</c:v>
                </c:pt>
                <c:pt idx="7">
                  <c:v>-5.7314750141053219</c:v>
                </c:pt>
                <c:pt idx="8">
                  <c:v>-5.8446816400762103</c:v>
                </c:pt>
                <c:pt idx="9">
                  <c:v>-7.5779849215364301</c:v>
                </c:pt>
                <c:pt idx="10">
                  <c:v>8.8370203455661471</c:v>
                </c:pt>
                <c:pt idx="11">
                  <c:v>13.712119003055131</c:v>
                </c:pt>
              </c:numCache>
            </c:numRef>
          </c:yVal>
          <c:smooth val="0"/>
          <c:extLst>
            <c:ext xmlns:c16="http://schemas.microsoft.com/office/drawing/2014/chart" uri="{C3380CC4-5D6E-409C-BE32-E72D297353CC}">
              <c16:uniqueId val="{00000000-43FE-3F48-BEF5-4BDCED6F4D2B}"/>
            </c:ext>
          </c:extLst>
        </c:ser>
        <c:ser>
          <c:idx val="1"/>
          <c:order val="1"/>
          <c:tx>
            <c:v>Non-Dispersive Model</c:v>
          </c:tx>
          <c:spPr>
            <a:ln w="25400" cap="rnd">
              <a:noFill/>
              <a:round/>
            </a:ln>
            <a:effectLst/>
          </c:spPr>
          <c:marker>
            <c:symbol val="diamond"/>
            <c:size val="8"/>
            <c:spPr>
              <a:solidFill>
                <a:schemeClr val="accent2"/>
              </a:solidFill>
              <a:ln w="9525">
                <a:noFill/>
              </a:ln>
              <a:effectLst/>
            </c:spPr>
          </c:marker>
          <c:trendline>
            <c:spPr>
              <a:ln w="38100" cap="rnd">
                <a:solidFill>
                  <a:schemeClr val="accent2"/>
                </a:solidFill>
                <a:prstDash val="solid"/>
                <a:headEnd type="triangle"/>
                <a:tailEnd type="triangle"/>
              </a:ln>
              <a:effectLst/>
            </c:spPr>
            <c:trendlineType val="linear"/>
            <c:forward val="15"/>
            <c:backward val="15"/>
            <c:dispRSqr val="1"/>
            <c:dispEq val="1"/>
            <c:trendlineLbl>
              <c:layout>
                <c:manualLayout>
                  <c:x val="9.2559989830331035E-2"/>
                  <c:y val="-0.47743144175943525"/>
                </c:manualLayout>
              </c:layout>
              <c:numFmt formatCode="#,##0.00" sourceLinked="0"/>
              <c:spPr>
                <a:noFill/>
                <a:ln>
                  <a:noFill/>
                </a:ln>
                <a:effectLst/>
              </c:spPr>
              <c:txPr>
                <a:bodyPr rot="0" spcFirstLastPara="1" vertOverflow="ellipsis" vert="horz" wrap="square" anchor="ctr" anchorCtr="1"/>
                <a:lstStyle/>
                <a:p>
                  <a:pPr>
                    <a:defRPr sz="1200" b="1" i="0" u="none" strike="noStrike" kern="1200" baseline="0">
                      <a:solidFill>
                        <a:schemeClr val="accent2"/>
                      </a:solidFill>
                      <a:latin typeface="Times New Roman" panose="02020603050405020304" pitchFamily="18" charset="0"/>
                      <a:ea typeface="+mn-ea"/>
                      <a:cs typeface="Times New Roman" panose="02020603050405020304" pitchFamily="18" charset="0"/>
                    </a:defRPr>
                  </a:pPr>
                  <a:endParaRPr lang="en-US"/>
                </a:p>
              </c:txPr>
            </c:trendlineLbl>
          </c:trendline>
          <c:xVal>
            <c:numRef>
              <c:f>'Non-Dispersive Model Output'!$O$22:$O$33</c:f>
              <c:numCache>
                <c:formatCode>General</c:formatCode>
                <c:ptCount val="12"/>
                <c:pt idx="0">
                  <c:v>-6.7753068488798327</c:v>
                </c:pt>
                <c:pt idx="1">
                  <c:v>-10.350406637030618</c:v>
                </c:pt>
                <c:pt idx="2">
                  <c:v>-13.30651229898101</c:v>
                </c:pt>
                <c:pt idx="3">
                  <c:v>-14.97946074490436</c:v>
                </c:pt>
                <c:pt idx="4">
                  <c:v>-12.243757117560198</c:v>
                </c:pt>
                <c:pt idx="5">
                  <c:v>-9.2682445764601962</c:v>
                </c:pt>
                <c:pt idx="6">
                  <c:v>-1.973212481535173</c:v>
                </c:pt>
                <c:pt idx="7">
                  <c:v>1.7212486733839172</c:v>
                </c:pt>
                <c:pt idx="8">
                  <c:v>-0.59925318705561426</c:v>
                </c:pt>
                <c:pt idx="9">
                  <c:v>-0.52470822136129369</c:v>
                </c:pt>
                <c:pt idx="10">
                  <c:v>1.4833062710765943</c:v>
                </c:pt>
                <c:pt idx="11">
                  <c:v>0.87396005276079469</c:v>
                </c:pt>
              </c:numCache>
            </c:numRef>
          </c:xVal>
          <c:yVal>
            <c:numRef>
              <c:f>'Non-Dispersive Model Output'!$M$22:$M$33</c:f>
              <c:numCache>
                <c:formatCode>General</c:formatCode>
                <c:ptCount val="12"/>
                <c:pt idx="0">
                  <c:v>4.1535707117228702</c:v>
                </c:pt>
                <c:pt idx="1">
                  <c:v>6.0413581769657698</c:v>
                </c:pt>
                <c:pt idx="2">
                  <c:v>7.0410631946339377</c:v>
                </c:pt>
                <c:pt idx="3">
                  <c:v>7.7571253620896217</c:v>
                </c:pt>
                <c:pt idx="4">
                  <c:v>3.3789236845022019</c:v>
                </c:pt>
                <c:pt idx="5">
                  <c:v>0.30689552491163613</c:v>
                </c:pt>
                <c:pt idx="6">
                  <c:v>-3.362811249028256</c:v>
                </c:pt>
                <c:pt idx="7">
                  <c:v>-3.9214902129807641</c:v>
                </c:pt>
                <c:pt idx="8">
                  <c:v>-4.0864091462176519</c:v>
                </c:pt>
                <c:pt idx="9">
                  <c:v>-4.2668633867031183</c:v>
                </c:pt>
                <c:pt idx="10">
                  <c:v>-4.7882935802328115</c:v>
                </c:pt>
                <c:pt idx="11">
                  <c:v>-1.3500339872982454</c:v>
                </c:pt>
              </c:numCache>
            </c:numRef>
          </c:yVal>
          <c:smooth val="0"/>
          <c:extLst>
            <c:ext xmlns:c16="http://schemas.microsoft.com/office/drawing/2014/chart" uri="{C3380CC4-5D6E-409C-BE32-E72D297353CC}">
              <c16:uniqueId val="{00000002-43FE-3F48-BEF5-4BDCED6F4D2B}"/>
            </c:ext>
          </c:extLst>
        </c:ser>
        <c:ser>
          <c:idx val="2"/>
          <c:order val="2"/>
          <c:tx>
            <c:v>Diffusive Mixing Model</c:v>
          </c:tx>
          <c:spPr>
            <a:ln w="25400" cap="rnd">
              <a:noFill/>
              <a:round/>
            </a:ln>
            <a:effectLst/>
          </c:spPr>
          <c:marker>
            <c:symbol val="square"/>
            <c:size val="8"/>
            <c:spPr>
              <a:solidFill>
                <a:schemeClr val="accent6"/>
              </a:solidFill>
              <a:ln w="9525">
                <a:noFill/>
              </a:ln>
              <a:effectLst/>
            </c:spPr>
          </c:marker>
          <c:trendline>
            <c:spPr>
              <a:ln w="38100" cap="rnd">
                <a:solidFill>
                  <a:schemeClr val="accent6"/>
                </a:solidFill>
                <a:prstDash val="solid"/>
                <a:headEnd type="triangle"/>
                <a:tailEnd type="triangle"/>
              </a:ln>
              <a:effectLst/>
            </c:spPr>
            <c:trendlineType val="linear"/>
            <c:dispRSqr val="1"/>
            <c:dispEq val="1"/>
            <c:trendlineLbl>
              <c:layout>
                <c:manualLayout>
                  <c:x val="0.3250897697616858"/>
                  <c:y val="-0.29559003400437012"/>
                </c:manualLayout>
              </c:layout>
              <c:numFmt formatCode="#,##0.00" sourceLinked="0"/>
              <c:spPr>
                <a:noFill/>
                <a:ln>
                  <a:noFill/>
                </a:ln>
                <a:effectLst/>
              </c:spPr>
              <c:txPr>
                <a:bodyPr rot="0" spcFirstLastPara="1" vertOverflow="ellipsis" vert="horz" wrap="square" anchor="ctr" anchorCtr="1"/>
                <a:lstStyle/>
                <a:p>
                  <a:pPr>
                    <a:defRPr sz="1200" b="1" i="0" u="none" strike="noStrike" kern="1200" baseline="0">
                      <a:solidFill>
                        <a:schemeClr val="accent6"/>
                      </a:solidFill>
                      <a:latin typeface="Times New Roman" panose="02020603050405020304" pitchFamily="18" charset="0"/>
                      <a:ea typeface="+mn-ea"/>
                      <a:cs typeface="Times New Roman" panose="02020603050405020304" pitchFamily="18" charset="0"/>
                    </a:defRPr>
                  </a:pPr>
                  <a:endParaRPr lang="en-US"/>
                </a:p>
              </c:txPr>
            </c:trendlineLbl>
          </c:trendline>
          <c:xVal>
            <c:numRef>
              <c:f>'MultiBox Eulerian Inverse Model'!$L$10:$L$21</c:f>
              <c:numCache>
                <c:formatCode>0.00</c:formatCode>
                <c:ptCount val="12"/>
                <c:pt idx="0">
                  <c:v>-16.96606641090295</c:v>
                </c:pt>
                <c:pt idx="1">
                  <c:v>-16.966066642677298</c:v>
                </c:pt>
                <c:pt idx="2">
                  <c:v>-16.965699773278761</c:v>
                </c:pt>
                <c:pt idx="3">
                  <c:v>-11.307169503660562</c:v>
                </c:pt>
                <c:pt idx="4">
                  <c:v>4.9900199600798416</c:v>
                </c:pt>
                <c:pt idx="5">
                  <c:v>4.9900199600798416</c:v>
                </c:pt>
                <c:pt idx="6">
                  <c:v>4.9900199600798416</c:v>
                </c:pt>
                <c:pt idx="7">
                  <c:v>4.9900199600798416</c:v>
                </c:pt>
                <c:pt idx="8">
                  <c:v>4.9900199600798416</c:v>
                </c:pt>
                <c:pt idx="9">
                  <c:v>4.9900199600798416</c:v>
                </c:pt>
                <c:pt idx="10">
                  <c:v>-5.9334915082021986</c:v>
                </c:pt>
                <c:pt idx="11">
                  <c:v>-16.965330390259702</c:v>
                </c:pt>
              </c:numCache>
            </c:numRef>
          </c:xVal>
          <c:yVal>
            <c:numRef>
              <c:f>'MultiBox Eulerian Inverse Model'!$P$10:$P$21</c:f>
              <c:numCache>
                <c:formatCode>0.00</c:formatCode>
                <c:ptCount val="12"/>
                <c:pt idx="0">
                  <c:v>13.972055652196296</c:v>
                </c:pt>
                <c:pt idx="1">
                  <c:v>13.972055693253255</c:v>
                </c:pt>
                <c:pt idx="2">
                  <c:v>13.971951919574202</c:v>
                </c:pt>
                <c:pt idx="3">
                  <c:v>9.6250347383117845</c:v>
                </c:pt>
                <c:pt idx="4">
                  <c:v>-5.9880239520958085</c:v>
                </c:pt>
                <c:pt idx="5">
                  <c:v>-5.9880239520958085</c:v>
                </c:pt>
                <c:pt idx="6">
                  <c:v>-5.9880239520958085</c:v>
                </c:pt>
                <c:pt idx="7">
                  <c:v>-5.9880239520958085</c:v>
                </c:pt>
                <c:pt idx="8">
                  <c:v>-5.9880239520958085</c:v>
                </c:pt>
                <c:pt idx="9">
                  <c:v>-5.9880239520958085</c:v>
                </c:pt>
                <c:pt idx="10">
                  <c:v>4.7400474266226151</c:v>
                </c:pt>
                <c:pt idx="11">
                  <c:v>13.971832594865083</c:v>
                </c:pt>
              </c:numCache>
            </c:numRef>
          </c:yVal>
          <c:smooth val="0"/>
          <c:extLst>
            <c:ext xmlns:c16="http://schemas.microsoft.com/office/drawing/2014/chart" uri="{C3380CC4-5D6E-409C-BE32-E72D297353CC}">
              <c16:uniqueId val="{00000003-43FE-3F48-BEF5-4BDCED6F4D2B}"/>
            </c:ext>
          </c:extLst>
        </c:ser>
        <c:dLbls>
          <c:showLegendKey val="0"/>
          <c:showVal val="0"/>
          <c:showCatName val="0"/>
          <c:showSerName val="0"/>
          <c:showPercent val="0"/>
          <c:showBubbleSize val="0"/>
        </c:dLbls>
        <c:axId val="38917840"/>
        <c:axId val="57712224"/>
      </c:scatterChart>
      <c:valAx>
        <c:axId val="38917840"/>
        <c:scaling>
          <c:orientation val="minMax"/>
        </c:scaling>
        <c:delete val="0"/>
        <c:axPos val="b"/>
        <c:title>
          <c:tx>
            <c:rich>
              <a:bodyPr rot="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a:t>NEP DIC</a:t>
                </a:r>
              </a:p>
              <a:p>
                <a:pPr>
                  <a:defRPr/>
                </a:pPr>
                <a:r>
                  <a:rPr lang="en-US"/>
                  <a:t>(mmol * m-2 * hr-1)</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low"/>
        <c:spPr>
          <a:noFill/>
          <a:ln w="9525" cap="flat" cmpd="sng" algn="ctr">
            <a:solidFill>
              <a:schemeClr val="tx1"/>
            </a:solidFill>
            <a:prstDash val="sysDot"/>
            <a:round/>
          </a:ln>
          <a:effectLst/>
        </c:spPr>
        <c:txPr>
          <a:bodyPr rot="-600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57712224"/>
        <c:crosses val="autoZero"/>
        <c:crossBetween val="midCat"/>
      </c:valAx>
      <c:valAx>
        <c:axId val="57712224"/>
        <c:scaling>
          <c:orientation val="minMax"/>
        </c:scaling>
        <c:delete val="0"/>
        <c:axPos val="l"/>
        <c:title>
          <c:tx>
            <c:rich>
              <a:bodyPr rot="-54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a:t>NEP O2</a:t>
                </a:r>
              </a:p>
              <a:p>
                <a:pPr>
                  <a:defRPr/>
                </a:pPr>
                <a:r>
                  <a:rPr lang="en-US"/>
                  <a:t>(mmol * m-2 * hr-1)</a:t>
                </a:r>
              </a:p>
            </c:rich>
          </c:tx>
          <c:overlay val="0"/>
          <c:spPr>
            <a:noFill/>
            <a:ln>
              <a:noFill/>
            </a:ln>
            <a:effectLst/>
          </c:spPr>
          <c:txPr>
            <a:bodyPr rot="-54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low"/>
        <c:spPr>
          <a:noFill/>
          <a:ln w="9525" cap="flat" cmpd="sng" algn="ctr">
            <a:solidFill>
              <a:schemeClr val="tx1"/>
            </a:solidFill>
            <a:prstDash val="sysDot"/>
            <a:round/>
          </a:ln>
          <a:effectLst/>
        </c:spPr>
        <c:txPr>
          <a:bodyPr rot="-6000000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38917840"/>
        <c:crosses val="autoZero"/>
        <c:crossBetween val="midCat"/>
      </c:valAx>
      <c:spPr>
        <a:noFill/>
        <a:ln>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b="1">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image" Target="../media/image5.jpg"/><Relationship Id="rId4" Type="http://schemas.openxmlformats.org/officeDocument/2006/relationships/chart" Target="../charts/chart4.xml"/><Relationship Id="rId9" Type="http://schemas.openxmlformats.org/officeDocument/2006/relationships/image" Target="../media/image4.jpg"/></Relationships>
</file>

<file path=xl/drawings/_rels/drawing3.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4" Type="http://schemas.openxmlformats.org/officeDocument/2006/relationships/chart" Target="../charts/chart1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4" Type="http://schemas.openxmlformats.org/officeDocument/2006/relationships/chart" Target="../charts/chart16.xml"/></Relationships>
</file>

<file path=xl/drawings/_rels/drawing5.xml.rels><?xml version="1.0" encoding="UTF-8" standalone="yes"?>
<Relationships xmlns="http://schemas.openxmlformats.org/package/2006/relationships"><Relationship Id="rId8" Type="http://schemas.openxmlformats.org/officeDocument/2006/relationships/chart" Target="../charts/chart24.xml"/><Relationship Id="rId3" Type="http://schemas.openxmlformats.org/officeDocument/2006/relationships/chart" Target="../charts/chart19.xml"/><Relationship Id="rId7" Type="http://schemas.openxmlformats.org/officeDocument/2006/relationships/chart" Target="../charts/chart23.xml"/><Relationship Id="rId12" Type="http://schemas.openxmlformats.org/officeDocument/2006/relationships/chart" Target="../charts/chart28.xml"/><Relationship Id="rId2" Type="http://schemas.openxmlformats.org/officeDocument/2006/relationships/chart" Target="../charts/chart18.xml"/><Relationship Id="rId1" Type="http://schemas.openxmlformats.org/officeDocument/2006/relationships/chart" Target="../charts/chart17.xml"/><Relationship Id="rId6" Type="http://schemas.openxmlformats.org/officeDocument/2006/relationships/chart" Target="../charts/chart22.xml"/><Relationship Id="rId11" Type="http://schemas.openxmlformats.org/officeDocument/2006/relationships/chart" Target="../charts/chart27.xml"/><Relationship Id="rId5" Type="http://schemas.openxmlformats.org/officeDocument/2006/relationships/chart" Target="../charts/chart21.xml"/><Relationship Id="rId10" Type="http://schemas.openxmlformats.org/officeDocument/2006/relationships/chart" Target="../charts/chart26.xml"/><Relationship Id="rId4" Type="http://schemas.openxmlformats.org/officeDocument/2006/relationships/chart" Target="../charts/chart20.xml"/><Relationship Id="rId9" Type="http://schemas.openxmlformats.org/officeDocument/2006/relationships/chart" Target="../charts/chart25.xml"/></Relationships>
</file>

<file path=xl/drawings/_rels/drawing6.xml.rels><?xml version="1.0" encoding="UTF-8" standalone="yes"?>
<Relationships xmlns="http://schemas.openxmlformats.org/package/2006/relationships"><Relationship Id="rId8" Type="http://schemas.openxmlformats.org/officeDocument/2006/relationships/chart" Target="../charts/chart36.xml"/><Relationship Id="rId3" Type="http://schemas.openxmlformats.org/officeDocument/2006/relationships/chart" Target="../charts/chart31.xml"/><Relationship Id="rId7" Type="http://schemas.openxmlformats.org/officeDocument/2006/relationships/chart" Target="../charts/chart35.xml"/><Relationship Id="rId2" Type="http://schemas.openxmlformats.org/officeDocument/2006/relationships/chart" Target="../charts/chart30.xml"/><Relationship Id="rId1" Type="http://schemas.openxmlformats.org/officeDocument/2006/relationships/chart" Target="../charts/chart29.xml"/><Relationship Id="rId6" Type="http://schemas.openxmlformats.org/officeDocument/2006/relationships/chart" Target="../charts/chart34.xml"/><Relationship Id="rId5" Type="http://schemas.openxmlformats.org/officeDocument/2006/relationships/chart" Target="../charts/chart33.xml"/><Relationship Id="rId4" Type="http://schemas.openxmlformats.org/officeDocument/2006/relationships/chart" Target="../charts/chart32.xml"/></Relationships>
</file>

<file path=xl/drawings/_rels/drawing7.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14.png"/></Relationships>
</file>

<file path=xl/drawings/_rels/drawing9.xml.rels><?xml version="1.0" encoding="UTF-8" standalone="yes"?>
<Relationships xmlns="http://schemas.openxmlformats.org/package/2006/relationships"><Relationship Id="rId2" Type="http://schemas.openxmlformats.org/officeDocument/2006/relationships/chart" Target="../charts/chart38.xml"/><Relationship Id="rId1" Type="http://schemas.openxmlformats.org/officeDocument/2006/relationships/chart" Target="../charts/chart37.xml"/></Relationships>
</file>

<file path=xl/drawings/drawing1.xml><?xml version="1.0" encoding="utf-8"?>
<xdr:wsDr xmlns:xdr="http://schemas.openxmlformats.org/drawingml/2006/spreadsheetDrawing" xmlns:a="http://schemas.openxmlformats.org/drawingml/2006/main">
  <xdr:twoCellAnchor>
    <xdr:from>
      <xdr:col>46</xdr:col>
      <xdr:colOff>596900</xdr:colOff>
      <xdr:row>78</xdr:row>
      <xdr:rowOff>139700</xdr:rowOff>
    </xdr:from>
    <xdr:to>
      <xdr:col>52</xdr:col>
      <xdr:colOff>635000</xdr:colOff>
      <xdr:row>80</xdr:row>
      <xdr:rowOff>101600</xdr:rowOff>
    </xdr:to>
    <xdr:pic>
      <xdr:nvPicPr>
        <xdr:cNvPr id="2" name="Picture 1">
          <a:extLst>
            <a:ext uri="{FF2B5EF4-FFF2-40B4-BE49-F238E27FC236}">
              <a16:creationId xmlns:a16="http://schemas.microsoft.com/office/drawing/2014/main" id="{EC542A31-F524-4743-98C0-DDF299B7D488}"/>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8569900" y="16522700"/>
          <a:ext cx="499110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546100</xdr:colOff>
      <xdr:row>87</xdr:row>
      <xdr:rowOff>38100</xdr:rowOff>
    </xdr:from>
    <xdr:to>
      <xdr:col>21</xdr:col>
      <xdr:colOff>469900</xdr:colOff>
      <xdr:row>87</xdr:row>
      <xdr:rowOff>215900</xdr:rowOff>
    </xdr:to>
    <xdr:pic>
      <xdr:nvPicPr>
        <xdr:cNvPr id="3" name="Picture 2">
          <a:extLst>
            <a:ext uri="{FF2B5EF4-FFF2-40B4-BE49-F238E27FC236}">
              <a16:creationId xmlns:a16="http://schemas.microsoft.com/office/drawing/2014/main" id="{482A2E05-8F01-CA46-95C5-A3AF74ACCA58}"/>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230600" y="18351500"/>
          <a:ext cx="1574800" cy="177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774700</xdr:colOff>
      <xdr:row>88</xdr:row>
      <xdr:rowOff>114300</xdr:rowOff>
    </xdr:from>
    <xdr:to>
      <xdr:col>16</xdr:col>
      <xdr:colOff>25400</xdr:colOff>
      <xdr:row>90</xdr:row>
      <xdr:rowOff>76200</xdr:rowOff>
    </xdr:to>
    <xdr:pic>
      <xdr:nvPicPr>
        <xdr:cNvPr id="4" name="Picture 3">
          <a:extLst>
            <a:ext uri="{FF2B5EF4-FFF2-40B4-BE49-F238E27FC236}">
              <a16:creationId xmlns:a16="http://schemas.microsoft.com/office/drawing/2014/main" id="{B3C98873-BF56-B441-AB2D-804875FE8E6E}"/>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506200" y="18656300"/>
          <a:ext cx="172720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12700</xdr:colOff>
      <xdr:row>17</xdr:row>
      <xdr:rowOff>25400</xdr:rowOff>
    </xdr:from>
    <xdr:to>
      <xdr:col>4</xdr:col>
      <xdr:colOff>27709</xdr:colOff>
      <xdr:row>33</xdr:row>
      <xdr:rowOff>183573</xdr:rowOff>
    </xdr:to>
    <xdr:graphicFrame macro="">
      <xdr:nvGraphicFramePr>
        <xdr:cNvPr id="2" name="Chart 1">
          <a:extLst>
            <a:ext uri="{FF2B5EF4-FFF2-40B4-BE49-F238E27FC236}">
              <a16:creationId xmlns:a16="http://schemas.microsoft.com/office/drawing/2014/main" id="{0F60A992-9E4E-5E4C-A1C8-B1AFA3E9ED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24</xdr:col>
      <xdr:colOff>44450</xdr:colOff>
      <xdr:row>1</xdr:row>
      <xdr:rowOff>12700</xdr:rowOff>
    </xdr:from>
    <xdr:to>
      <xdr:col>31</xdr:col>
      <xdr:colOff>812800</xdr:colOff>
      <xdr:row>16</xdr:row>
      <xdr:rowOff>88900</xdr:rowOff>
    </xdr:to>
    <xdr:graphicFrame macro="">
      <xdr:nvGraphicFramePr>
        <xdr:cNvPr id="4" name="Chart 3">
          <a:extLst>
            <a:ext uri="{FF2B5EF4-FFF2-40B4-BE49-F238E27FC236}">
              <a16:creationId xmlns:a16="http://schemas.microsoft.com/office/drawing/2014/main" id="{AEA178F9-FABA-A340-BE14-68A99B6077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32</xdr:col>
      <xdr:colOff>19050</xdr:colOff>
      <xdr:row>1</xdr:row>
      <xdr:rowOff>12700</xdr:rowOff>
    </xdr:from>
    <xdr:to>
      <xdr:col>39</xdr:col>
      <xdr:colOff>787400</xdr:colOff>
      <xdr:row>16</xdr:row>
      <xdr:rowOff>88900</xdr:rowOff>
    </xdr:to>
    <xdr:graphicFrame macro="">
      <xdr:nvGraphicFramePr>
        <xdr:cNvPr id="5" name="Chart 4">
          <a:extLst>
            <a:ext uri="{FF2B5EF4-FFF2-40B4-BE49-F238E27FC236}">
              <a16:creationId xmlns:a16="http://schemas.microsoft.com/office/drawing/2014/main" id="{7C6BC1D3-6C78-9240-84FE-1F17DF90048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44450</xdr:colOff>
      <xdr:row>16</xdr:row>
      <xdr:rowOff>152400</xdr:rowOff>
    </xdr:from>
    <xdr:to>
      <xdr:col>31</xdr:col>
      <xdr:colOff>812800</xdr:colOff>
      <xdr:row>32</xdr:row>
      <xdr:rowOff>25400</xdr:rowOff>
    </xdr:to>
    <xdr:graphicFrame macro="">
      <xdr:nvGraphicFramePr>
        <xdr:cNvPr id="6" name="Chart 5">
          <a:extLst>
            <a:ext uri="{FF2B5EF4-FFF2-40B4-BE49-F238E27FC236}">
              <a16:creationId xmlns:a16="http://schemas.microsoft.com/office/drawing/2014/main" id="{A8CD668B-E8AD-374E-A968-343CB644A26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32</xdr:col>
      <xdr:colOff>19050</xdr:colOff>
      <xdr:row>16</xdr:row>
      <xdr:rowOff>152400</xdr:rowOff>
    </xdr:from>
    <xdr:to>
      <xdr:col>39</xdr:col>
      <xdr:colOff>787400</xdr:colOff>
      <xdr:row>32</xdr:row>
      <xdr:rowOff>25400</xdr:rowOff>
    </xdr:to>
    <xdr:graphicFrame macro="">
      <xdr:nvGraphicFramePr>
        <xdr:cNvPr id="7" name="Chart 6">
          <a:extLst>
            <a:ext uri="{FF2B5EF4-FFF2-40B4-BE49-F238E27FC236}">
              <a16:creationId xmlns:a16="http://schemas.microsoft.com/office/drawing/2014/main" id="{F86E2B97-8BCF-FD43-BA68-BBAFCB8043D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31750</xdr:colOff>
      <xdr:row>32</xdr:row>
      <xdr:rowOff>101600</xdr:rowOff>
    </xdr:from>
    <xdr:to>
      <xdr:col>31</xdr:col>
      <xdr:colOff>800100</xdr:colOff>
      <xdr:row>47</xdr:row>
      <xdr:rowOff>177800</xdr:rowOff>
    </xdr:to>
    <xdr:graphicFrame macro="">
      <xdr:nvGraphicFramePr>
        <xdr:cNvPr id="8" name="Chart 7">
          <a:extLst>
            <a:ext uri="{FF2B5EF4-FFF2-40B4-BE49-F238E27FC236}">
              <a16:creationId xmlns:a16="http://schemas.microsoft.com/office/drawing/2014/main" id="{F4FD0110-123E-8248-8C15-A5996E94EB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6350</xdr:colOff>
      <xdr:row>32</xdr:row>
      <xdr:rowOff>101600</xdr:rowOff>
    </xdr:from>
    <xdr:to>
      <xdr:col>39</xdr:col>
      <xdr:colOff>774700</xdr:colOff>
      <xdr:row>47</xdr:row>
      <xdr:rowOff>177800</xdr:rowOff>
    </xdr:to>
    <xdr:graphicFrame macro="">
      <xdr:nvGraphicFramePr>
        <xdr:cNvPr id="9" name="Chart 8">
          <a:extLst>
            <a:ext uri="{FF2B5EF4-FFF2-40B4-BE49-F238E27FC236}">
              <a16:creationId xmlns:a16="http://schemas.microsoft.com/office/drawing/2014/main" id="{9AC17507-BE43-9B48-88F9-1B636F25EA9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xdr:col>
      <xdr:colOff>19050</xdr:colOff>
      <xdr:row>49</xdr:row>
      <xdr:rowOff>152400</xdr:rowOff>
    </xdr:from>
    <xdr:to>
      <xdr:col>31</xdr:col>
      <xdr:colOff>787400</xdr:colOff>
      <xdr:row>65</xdr:row>
      <xdr:rowOff>25400</xdr:rowOff>
    </xdr:to>
    <xdr:graphicFrame macro="">
      <xdr:nvGraphicFramePr>
        <xdr:cNvPr id="10" name="Chart 9">
          <a:extLst>
            <a:ext uri="{FF2B5EF4-FFF2-40B4-BE49-F238E27FC236}">
              <a16:creationId xmlns:a16="http://schemas.microsoft.com/office/drawing/2014/main" id="{65E46BD3-67C8-C54F-BEC4-A6D78809CAE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31</xdr:col>
      <xdr:colOff>819150</xdr:colOff>
      <xdr:row>49</xdr:row>
      <xdr:rowOff>152400</xdr:rowOff>
    </xdr:from>
    <xdr:to>
      <xdr:col>39</xdr:col>
      <xdr:colOff>762000</xdr:colOff>
      <xdr:row>65</xdr:row>
      <xdr:rowOff>25400</xdr:rowOff>
    </xdr:to>
    <xdr:graphicFrame macro="">
      <xdr:nvGraphicFramePr>
        <xdr:cNvPr id="11" name="Chart 10">
          <a:extLst>
            <a:ext uri="{FF2B5EF4-FFF2-40B4-BE49-F238E27FC236}">
              <a16:creationId xmlns:a16="http://schemas.microsoft.com/office/drawing/2014/main" id="{429F67D5-73C8-964C-AE88-FDEF10E842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0</xdr:col>
      <xdr:colOff>12700</xdr:colOff>
      <xdr:row>65</xdr:row>
      <xdr:rowOff>12700</xdr:rowOff>
    </xdr:from>
    <xdr:to>
      <xdr:col>5</xdr:col>
      <xdr:colOff>660400</xdr:colOff>
      <xdr:row>98</xdr:row>
      <xdr:rowOff>165100</xdr:rowOff>
    </xdr:to>
    <xdr:pic>
      <xdr:nvPicPr>
        <xdr:cNvPr id="12" name="Picture 11">
          <a:extLst>
            <a:ext uri="{FF2B5EF4-FFF2-40B4-BE49-F238E27FC236}">
              <a16:creationId xmlns:a16="http://schemas.microsoft.com/office/drawing/2014/main" id="{B6EAA8AA-579C-9549-BBAA-F8D0138ED7E7}"/>
            </a:ext>
          </a:extLst>
        </xdr:cNvPr>
        <xdr:cNvPicPr>
          <a:picLocks noChangeAspect="1"/>
        </xdr:cNvPicPr>
      </xdr:nvPicPr>
      <xdr:blipFill>
        <a:blip xmlns:r="http://schemas.openxmlformats.org/officeDocument/2006/relationships" r:embed="rId9"/>
        <a:stretch>
          <a:fillRect/>
        </a:stretch>
      </xdr:blipFill>
      <xdr:spPr>
        <a:xfrm>
          <a:off x="12700" y="13220700"/>
          <a:ext cx="12192000" cy="6858000"/>
        </a:xfrm>
        <a:prstGeom prst="rect">
          <a:avLst/>
        </a:prstGeom>
      </xdr:spPr>
    </xdr:pic>
    <xdr:clientData/>
  </xdr:twoCellAnchor>
  <xdr:twoCellAnchor editAs="oneCell">
    <xdr:from>
      <xdr:col>0</xdr:col>
      <xdr:colOff>0</xdr:colOff>
      <xdr:row>99</xdr:row>
      <xdr:rowOff>0</xdr:rowOff>
    </xdr:from>
    <xdr:to>
      <xdr:col>5</xdr:col>
      <xdr:colOff>647700</xdr:colOff>
      <xdr:row>132</xdr:row>
      <xdr:rowOff>152400</xdr:rowOff>
    </xdr:to>
    <xdr:pic>
      <xdr:nvPicPr>
        <xdr:cNvPr id="13" name="Picture 12">
          <a:extLst>
            <a:ext uri="{FF2B5EF4-FFF2-40B4-BE49-F238E27FC236}">
              <a16:creationId xmlns:a16="http://schemas.microsoft.com/office/drawing/2014/main" id="{85301994-FA1D-494D-A7D4-5F04758E739A}"/>
            </a:ext>
          </a:extLst>
        </xdr:cNvPr>
        <xdr:cNvPicPr>
          <a:picLocks noChangeAspect="1"/>
        </xdr:cNvPicPr>
      </xdr:nvPicPr>
      <xdr:blipFill>
        <a:blip xmlns:r="http://schemas.openxmlformats.org/officeDocument/2006/relationships" r:embed="rId10"/>
        <a:stretch>
          <a:fillRect/>
        </a:stretch>
      </xdr:blipFill>
      <xdr:spPr>
        <a:xfrm>
          <a:off x="0" y="20116800"/>
          <a:ext cx="12192000" cy="685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24</xdr:col>
      <xdr:colOff>19050</xdr:colOff>
      <xdr:row>0</xdr:row>
      <xdr:rowOff>196850</xdr:rowOff>
    </xdr:from>
    <xdr:to>
      <xdr:col>28</xdr:col>
      <xdr:colOff>0</xdr:colOff>
      <xdr:row>20</xdr:row>
      <xdr:rowOff>0</xdr:rowOff>
    </xdr:to>
    <xdr:graphicFrame macro="">
      <xdr:nvGraphicFramePr>
        <xdr:cNvPr id="2" name="Chart 1">
          <a:extLst>
            <a:ext uri="{FF2B5EF4-FFF2-40B4-BE49-F238E27FC236}">
              <a16:creationId xmlns:a16="http://schemas.microsoft.com/office/drawing/2014/main" id="{225679E6-B350-8A40-B82C-DC7187F1E13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24</xdr:col>
      <xdr:colOff>31750</xdr:colOff>
      <xdr:row>44</xdr:row>
      <xdr:rowOff>196850</xdr:rowOff>
    </xdr:from>
    <xdr:to>
      <xdr:col>28</xdr:col>
      <xdr:colOff>12700</xdr:colOff>
      <xdr:row>64</xdr:row>
      <xdr:rowOff>0</xdr:rowOff>
    </xdr:to>
    <xdr:graphicFrame macro="">
      <xdr:nvGraphicFramePr>
        <xdr:cNvPr id="3" name="Chart 2">
          <a:extLst>
            <a:ext uri="{FF2B5EF4-FFF2-40B4-BE49-F238E27FC236}">
              <a16:creationId xmlns:a16="http://schemas.microsoft.com/office/drawing/2014/main" id="{68D53BA3-7D48-F640-8178-A5A4F31B21C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31750</xdr:colOff>
      <xdr:row>89</xdr:row>
      <xdr:rowOff>184150</xdr:rowOff>
    </xdr:from>
    <xdr:to>
      <xdr:col>28</xdr:col>
      <xdr:colOff>12700</xdr:colOff>
      <xdr:row>108</xdr:row>
      <xdr:rowOff>190500</xdr:rowOff>
    </xdr:to>
    <xdr:graphicFrame macro="">
      <xdr:nvGraphicFramePr>
        <xdr:cNvPr id="4" name="Chart 3">
          <a:extLst>
            <a:ext uri="{FF2B5EF4-FFF2-40B4-BE49-F238E27FC236}">
              <a16:creationId xmlns:a16="http://schemas.microsoft.com/office/drawing/2014/main" id="{2CC87475-CA18-3647-972C-C00786AF9D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19050</xdr:colOff>
      <xdr:row>135</xdr:row>
      <xdr:rowOff>196850</xdr:rowOff>
    </xdr:from>
    <xdr:to>
      <xdr:col>28</xdr:col>
      <xdr:colOff>0</xdr:colOff>
      <xdr:row>155</xdr:row>
      <xdr:rowOff>0</xdr:rowOff>
    </xdr:to>
    <xdr:graphicFrame macro="">
      <xdr:nvGraphicFramePr>
        <xdr:cNvPr id="5" name="Chart 4">
          <a:extLst>
            <a:ext uri="{FF2B5EF4-FFF2-40B4-BE49-F238E27FC236}">
              <a16:creationId xmlns:a16="http://schemas.microsoft.com/office/drawing/2014/main" id="{2F46B08E-88FF-E24D-B225-ED6C4074701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20</xdr:col>
      <xdr:colOff>19050</xdr:colOff>
      <xdr:row>18</xdr:row>
      <xdr:rowOff>190500</xdr:rowOff>
    </xdr:from>
    <xdr:to>
      <xdr:col>28</xdr:col>
      <xdr:colOff>25400</xdr:colOff>
      <xdr:row>35</xdr:row>
      <xdr:rowOff>0</xdr:rowOff>
    </xdr:to>
    <xdr:graphicFrame macro="">
      <xdr:nvGraphicFramePr>
        <xdr:cNvPr id="2" name="Chart 1">
          <a:extLst>
            <a:ext uri="{FF2B5EF4-FFF2-40B4-BE49-F238E27FC236}">
              <a16:creationId xmlns:a16="http://schemas.microsoft.com/office/drawing/2014/main" id="{27617EE4-DB5C-5642-B87A-0AE02AC0AD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19050</xdr:colOff>
      <xdr:row>36</xdr:row>
      <xdr:rowOff>76200</xdr:rowOff>
    </xdr:from>
    <xdr:to>
      <xdr:col>28</xdr:col>
      <xdr:colOff>25400</xdr:colOff>
      <xdr:row>52</xdr:row>
      <xdr:rowOff>88900</xdr:rowOff>
    </xdr:to>
    <xdr:graphicFrame macro="">
      <xdr:nvGraphicFramePr>
        <xdr:cNvPr id="3" name="Chart 2">
          <a:extLst>
            <a:ext uri="{FF2B5EF4-FFF2-40B4-BE49-F238E27FC236}">
              <a16:creationId xmlns:a16="http://schemas.microsoft.com/office/drawing/2014/main" id="{E5A3BF54-70C5-E249-9099-6E751CF769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44450</xdr:colOff>
      <xdr:row>54</xdr:row>
      <xdr:rowOff>25400</xdr:rowOff>
    </xdr:from>
    <xdr:to>
      <xdr:col>28</xdr:col>
      <xdr:colOff>50800</xdr:colOff>
      <xdr:row>70</xdr:row>
      <xdr:rowOff>38100</xdr:rowOff>
    </xdr:to>
    <xdr:graphicFrame macro="">
      <xdr:nvGraphicFramePr>
        <xdr:cNvPr id="4" name="Chart 3">
          <a:extLst>
            <a:ext uri="{FF2B5EF4-FFF2-40B4-BE49-F238E27FC236}">
              <a16:creationId xmlns:a16="http://schemas.microsoft.com/office/drawing/2014/main" id="{99DDEAA2-B141-5142-B053-BB70A5DD7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20</xdr:col>
      <xdr:colOff>31750</xdr:colOff>
      <xdr:row>71</xdr:row>
      <xdr:rowOff>88900</xdr:rowOff>
    </xdr:from>
    <xdr:to>
      <xdr:col>28</xdr:col>
      <xdr:colOff>38100</xdr:colOff>
      <xdr:row>87</xdr:row>
      <xdr:rowOff>101600</xdr:rowOff>
    </xdr:to>
    <xdr:graphicFrame macro="">
      <xdr:nvGraphicFramePr>
        <xdr:cNvPr id="5" name="Chart 4">
          <a:extLst>
            <a:ext uri="{FF2B5EF4-FFF2-40B4-BE49-F238E27FC236}">
              <a16:creationId xmlns:a16="http://schemas.microsoft.com/office/drawing/2014/main" id="{8DF64F02-78CA-0B45-8A4C-537CAF4571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116</xdr:row>
      <xdr:rowOff>25400</xdr:rowOff>
    </xdr:from>
    <xdr:to>
      <xdr:col>3</xdr:col>
      <xdr:colOff>469900</xdr:colOff>
      <xdr:row>130</xdr:row>
      <xdr:rowOff>127000</xdr:rowOff>
    </xdr:to>
    <xdr:graphicFrame macro="">
      <xdr:nvGraphicFramePr>
        <xdr:cNvPr id="2" name="Chart 1">
          <a:extLst>
            <a:ext uri="{FF2B5EF4-FFF2-40B4-BE49-F238E27FC236}">
              <a16:creationId xmlns:a16="http://schemas.microsoft.com/office/drawing/2014/main" id="{D273FE4B-4CE0-ED49-A9B1-E7A0C89885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482600</xdr:colOff>
      <xdr:row>116</xdr:row>
      <xdr:rowOff>38100</xdr:rowOff>
    </xdr:from>
    <xdr:to>
      <xdr:col>6</xdr:col>
      <xdr:colOff>774700</xdr:colOff>
      <xdr:row>131</xdr:row>
      <xdr:rowOff>12700</xdr:rowOff>
    </xdr:to>
    <xdr:graphicFrame macro="">
      <xdr:nvGraphicFramePr>
        <xdr:cNvPr id="3" name="Chart 2">
          <a:extLst>
            <a:ext uri="{FF2B5EF4-FFF2-40B4-BE49-F238E27FC236}">
              <a16:creationId xmlns:a16="http://schemas.microsoft.com/office/drawing/2014/main" id="{74EA135F-73A1-2549-A2EE-60EB61497A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825500</xdr:colOff>
      <xdr:row>116</xdr:row>
      <xdr:rowOff>25400</xdr:rowOff>
    </xdr:from>
    <xdr:to>
      <xdr:col>9</xdr:col>
      <xdr:colOff>1574800</xdr:colOff>
      <xdr:row>131</xdr:row>
      <xdr:rowOff>50800</xdr:rowOff>
    </xdr:to>
    <xdr:graphicFrame macro="">
      <xdr:nvGraphicFramePr>
        <xdr:cNvPr id="4" name="Chart 3">
          <a:extLst>
            <a:ext uri="{FF2B5EF4-FFF2-40B4-BE49-F238E27FC236}">
              <a16:creationId xmlns:a16="http://schemas.microsoft.com/office/drawing/2014/main" id="{3A0E658F-6276-AA45-984C-970119B77B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25400</xdr:colOff>
      <xdr:row>144</xdr:row>
      <xdr:rowOff>38100</xdr:rowOff>
    </xdr:from>
    <xdr:to>
      <xdr:col>3</xdr:col>
      <xdr:colOff>495300</xdr:colOff>
      <xdr:row>157</xdr:row>
      <xdr:rowOff>139700</xdr:rowOff>
    </xdr:to>
    <xdr:graphicFrame macro="">
      <xdr:nvGraphicFramePr>
        <xdr:cNvPr id="5" name="Chart 4">
          <a:extLst>
            <a:ext uri="{FF2B5EF4-FFF2-40B4-BE49-F238E27FC236}">
              <a16:creationId xmlns:a16="http://schemas.microsoft.com/office/drawing/2014/main" id="{03BC5E9A-109B-1241-84E2-81C167F297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533400</xdr:colOff>
      <xdr:row>144</xdr:row>
      <xdr:rowOff>50800</xdr:rowOff>
    </xdr:from>
    <xdr:to>
      <xdr:col>6</xdr:col>
      <xdr:colOff>939800</xdr:colOff>
      <xdr:row>158</xdr:row>
      <xdr:rowOff>50800</xdr:rowOff>
    </xdr:to>
    <xdr:graphicFrame macro="">
      <xdr:nvGraphicFramePr>
        <xdr:cNvPr id="6" name="Chart 5">
          <a:extLst>
            <a:ext uri="{FF2B5EF4-FFF2-40B4-BE49-F238E27FC236}">
              <a16:creationId xmlns:a16="http://schemas.microsoft.com/office/drawing/2014/main" id="{6CDE1D43-8C18-3E4A-9CB3-041D5139C3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1028700</xdr:colOff>
      <xdr:row>144</xdr:row>
      <xdr:rowOff>50800</xdr:rowOff>
    </xdr:from>
    <xdr:to>
      <xdr:col>9</xdr:col>
      <xdr:colOff>203200</xdr:colOff>
      <xdr:row>158</xdr:row>
      <xdr:rowOff>12700</xdr:rowOff>
    </xdr:to>
    <xdr:graphicFrame macro="">
      <xdr:nvGraphicFramePr>
        <xdr:cNvPr id="7" name="Chart 6">
          <a:extLst>
            <a:ext uri="{FF2B5EF4-FFF2-40B4-BE49-F238E27FC236}">
              <a16:creationId xmlns:a16="http://schemas.microsoft.com/office/drawing/2014/main" id="{064BDAAB-4B54-C343-ADB7-345DC2FFF5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174</xdr:row>
      <xdr:rowOff>0</xdr:rowOff>
    </xdr:from>
    <xdr:to>
      <xdr:col>3</xdr:col>
      <xdr:colOff>469900</xdr:colOff>
      <xdr:row>187</xdr:row>
      <xdr:rowOff>101600</xdr:rowOff>
    </xdr:to>
    <xdr:graphicFrame macro="">
      <xdr:nvGraphicFramePr>
        <xdr:cNvPr id="8" name="Chart 7">
          <a:extLst>
            <a:ext uri="{FF2B5EF4-FFF2-40B4-BE49-F238E27FC236}">
              <a16:creationId xmlns:a16="http://schemas.microsoft.com/office/drawing/2014/main" id="{C205CFB5-D4B6-B147-A645-2BF60E7769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508000</xdr:colOff>
      <xdr:row>174</xdr:row>
      <xdr:rowOff>12700</xdr:rowOff>
    </xdr:from>
    <xdr:to>
      <xdr:col>6</xdr:col>
      <xdr:colOff>241300</xdr:colOff>
      <xdr:row>187</xdr:row>
      <xdr:rowOff>152400</xdr:rowOff>
    </xdr:to>
    <xdr:graphicFrame macro="">
      <xdr:nvGraphicFramePr>
        <xdr:cNvPr id="9" name="Chart 8">
          <a:extLst>
            <a:ext uri="{FF2B5EF4-FFF2-40B4-BE49-F238E27FC236}">
              <a16:creationId xmlns:a16="http://schemas.microsoft.com/office/drawing/2014/main" id="{51608F59-2A52-6947-A814-98BC5649D7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279400</xdr:colOff>
      <xdr:row>174</xdr:row>
      <xdr:rowOff>25400</xdr:rowOff>
    </xdr:from>
    <xdr:to>
      <xdr:col>9</xdr:col>
      <xdr:colOff>889000</xdr:colOff>
      <xdr:row>187</xdr:row>
      <xdr:rowOff>127000</xdr:rowOff>
    </xdr:to>
    <xdr:graphicFrame macro="">
      <xdr:nvGraphicFramePr>
        <xdr:cNvPr id="10" name="Chart 9">
          <a:extLst>
            <a:ext uri="{FF2B5EF4-FFF2-40B4-BE49-F238E27FC236}">
              <a16:creationId xmlns:a16="http://schemas.microsoft.com/office/drawing/2014/main" id="{7EE116D2-F301-EA4E-81DD-BDB790C920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87</xdr:row>
      <xdr:rowOff>12700</xdr:rowOff>
    </xdr:from>
    <xdr:to>
      <xdr:col>2</xdr:col>
      <xdr:colOff>1536700</xdr:colOff>
      <xdr:row>100</xdr:row>
      <xdr:rowOff>114300</xdr:rowOff>
    </xdr:to>
    <xdr:graphicFrame macro="">
      <xdr:nvGraphicFramePr>
        <xdr:cNvPr id="14" name="Chart 13">
          <a:extLst>
            <a:ext uri="{FF2B5EF4-FFF2-40B4-BE49-F238E27FC236}">
              <a16:creationId xmlns:a16="http://schemas.microsoft.com/office/drawing/2014/main" id="{275DC934-0652-0846-BF5E-1844E205C1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1549400</xdr:colOff>
      <xdr:row>87</xdr:row>
      <xdr:rowOff>25400</xdr:rowOff>
    </xdr:from>
    <xdr:to>
      <xdr:col>4</xdr:col>
      <xdr:colOff>1549400</xdr:colOff>
      <xdr:row>100</xdr:row>
      <xdr:rowOff>127000</xdr:rowOff>
    </xdr:to>
    <xdr:graphicFrame macro="">
      <xdr:nvGraphicFramePr>
        <xdr:cNvPr id="15" name="Chart 14">
          <a:extLst>
            <a:ext uri="{FF2B5EF4-FFF2-40B4-BE49-F238E27FC236}">
              <a16:creationId xmlns:a16="http://schemas.microsoft.com/office/drawing/2014/main" id="{F6B15AA8-6CEF-6D4F-89EC-1B201BDFE2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1612900</xdr:colOff>
      <xdr:row>87</xdr:row>
      <xdr:rowOff>25400</xdr:rowOff>
    </xdr:from>
    <xdr:to>
      <xdr:col>7</xdr:col>
      <xdr:colOff>533400</xdr:colOff>
      <xdr:row>100</xdr:row>
      <xdr:rowOff>127000</xdr:rowOff>
    </xdr:to>
    <xdr:graphicFrame macro="">
      <xdr:nvGraphicFramePr>
        <xdr:cNvPr id="16" name="Chart 15">
          <a:extLst>
            <a:ext uri="{FF2B5EF4-FFF2-40B4-BE49-F238E27FC236}">
              <a16:creationId xmlns:a16="http://schemas.microsoft.com/office/drawing/2014/main" id="{B659C340-0357-F240-A7D2-7019FF68E9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37</xdr:col>
      <xdr:colOff>1238250</xdr:colOff>
      <xdr:row>0</xdr:row>
      <xdr:rowOff>133350</xdr:rowOff>
    </xdr:from>
    <xdr:to>
      <xdr:col>42</xdr:col>
      <xdr:colOff>292100</xdr:colOff>
      <xdr:row>15</xdr:row>
      <xdr:rowOff>63500</xdr:rowOff>
    </xdr:to>
    <xdr:graphicFrame macro="">
      <xdr:nvGraphicFramePr>
        <xdr:cNvPr id="10" name="Chart 9">
          <a:extLst>
            <a:ext uri="{FF2B5EF4-FFF2-40B4-BE49-F238E27FC236}">
              <a16:creationId xmlns:a16="http://schemas.microsoft.com/office/drawing/2014/main" id="{3A351042-E81A-7F45-A67A-1D09F780AA9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38</xdr:col>
      <xdr:colOff>31750</xdr:colOff>
      <xdr:row>15</xdr:row>
      <xdr:rowOff>158750</xdr:rowOff>
    </xdr:from>
    <xdr:to>
      <xdr:col>42</xdr:col>
      <xdr:colOff>330200</xdr:colOff>
      <xdr:row>30</xdr:row>
      <xdr:rowOff>88900</xdr:rowOff>
    </xdr:to>
    <xdr:graphicFrame macro="">
      <xdr:nvGraphicFramePr>
        <xdr:cNvPr id="11" name="Chart 10">
          <a:extLst>
            <a:ext uri="{FF2B5EF4-FFF2-40B4-BE49-F238E27FC236}">
              <a16:creationId xmlns:a16="http://schemas.microsoft.com/office/drawing/2014/main" id="{DD88E650-30B4-114E-BC27-CA70944B02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38</xdr:col>
      <xdr:colOff>57150</xdr:colOff>
      <xdr:row>31</xdr:row>
      <xdr:rowOff>6350</xdr:rowOff>
    </xdr:from>
    <xdr:to>
      <xdr:col>42</xdr:col>
      <xdr:colOff>355600</xdr:colOff>
      <xdr:row>45</xdr:row>
      <xdr:rowOff>139700</xdr:rowOff>
    </xdr:to>
    <xdr:graphicFrame macro="">
      <xdr:nvGraphicFramePr>
        <xdr:cNvPr id="12" name="Chart 11">
          <a:extLst>
            <a:ext uri="{FF2B5EF4-FFF2-40B4-BE49-F238E27FC236}">
              <a16:creationId xmlns:a16="http://schemas.microsoft.com/office/drawing/2014/main" id="{1D48A3E4-5D61-5C4C-BFA9-E3A6EA0359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38</xdr:col>
      <xdr:colOff>69850</xdr:colOff>
      <xdr:row>46</xdr:row>
      <xdr:rowOff>57150</xdr:rowOff>
    </xdr:from>
    <xdr:to>
      <xdr:col>42</xdr:col>
      <xdr:colOff>368300</xdr:colOff>
      <xdr:row>60</xdr:row>
      <xdr:rowOff>190500</xdr:rowOff>
    </xdr:to>
    <xdr:graphicFrame macro="">
      <xdr:nvGraphicFramePr>
        <xdr:cNvPr id="13" name="Chart 12">
          <a:extLst>
            <a:ext uri="{FF2B5EF4-FFF2-40B4-BE49-F238E27FC236}">
              <a16:creationId xmlns:a16="http://schemas.microsoft.com/office/drawing/2014/main" id="{AEDADA90-2134-9145-943A-5EE5C36F73A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33</xdr:col>
      <xdr:colOff>12700</xdr:colOff>
      <xdr:row>1</xdr:row>
      <xdr:rowOff>6350</xdr:rowOff>
    </xdr:from>
    <xdr:to>
      <xdr:col>37</xdr:col>
      <xdr:colOff>1206500</xdr:colOff>
      <xdr:row>14</xdr:row>
      <xdr:rowOff>107950</xdr:rowOff>
    </xdr:to>
    <xdr:graphicFrame macro="">
      <xdr:nvGraphicFramePr>
        <xdr:cNvPr id="14" name="Chart 13">
          <a:extLst>
            <a:ext uri="{FF2B5EF4-FFF2-40B4-BE49-F238E27FC236}">
              <a16:creationId xmlns:a16="http://schemas.microsoft.com/office/drawing/2014/main" id="{5BD503A3-A0CB-C349-8B80-C9EC9640E0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33</xdr:col>
      <xdr:colOff>12700</xdr:colOff>
      <xdr:row>15</xdr:row>
      <xdr:rowOff>44450</xdr:rowOff>
    </xdr:from>
    <xdr:to>
      <xdr:col>37</xdr:col>
      <xdr:colOff>1206500</xdr:colOff>
      <xdr:row>28</xdr:row>
      <xdr:rowOff>146050</xdr:rowOff>
    </xdr:to>
    <xdr:graphicFrame macro="">
      <xdr:nvGraphicFramePr>
        <xdr:cNvPr id="15" name="Chart 14">
          <a:extLst>
            <a:ext uri="{FF2B5EF4-FFF2-40B4-BE49-F238E27FC236}">
              <a16:creationId xmlns:a16="http://schemas.microsoft.com/office/drawing/2014/main" id="{77397D88-7F27-3347-8DCF-4331428567B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33</xdr:col>
      <xdr:colOff>25400</xdr:colOff>
      <xdr:row>30</xdr:row>
      <xdr:rowOff>31750</xdr:rowOff>
    </xdr:from>
    <xdr:to>
      <xdr:col>37</xdr:col>
      <xdr:colOff>1219200</xdr:colOff>
      <xdr:row>43</xdr:row>
      <xdr:rowOff>133350</xdr:rowOff>
    </xdr:to>
    <xdr:graphicFrame macro="">
      <xdr:nvGraphicFramePr>
        <xdr:cNvPr id="16" name="Chart 15">
          <a:extLst>
            <a:ext uri="{FF2B5EF4-FFF2-40B4-BE49-F238E27FC236}">
              <a16:creationId xmlns:a16="http://schemas.microsoft.com/office/drawing/2014/main" id="{5A296C2C-9D9C-1A4D-B933-3597FD5233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33</xdr:col>
      <xdr:colOff>38100</xdr:colOff>
      <xdr:row>46</xdr:row>
      <xdr:rowOff>69850</xdr:rowOff>
    </xdr:from>
    <xdr:to>
      <xdr:col>37</xdr:col>
      <xdr:colOff>1231900</xdr:colOff>
      <xdr:row>59</xdr:row>
      <xdr:rowOff>171450</xdr:rowOff>
    </xdr:to>
    <xdr:graphicFrame macro="">
      <xdr:nvGraphicFramePr>
        <xdr:cNvPr id="17" name="Chart 16">
          <a:extLst>
            <a:ext uri="{FF2B5EF4-FFF2-40B4-BE49-F238E27FC236}">
              <a16:creationId xmlns:a16="http://schemas.microsoft.com/office/drawing/2014/main" id="{B645A40F-5567-1A45-9A64-AB76279551D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190501</xdr:rowOff>
    </xdr:from>
    <xdr:to>
      <xdr:col>8</xdr:col>
      <xdr:colOff>787568</xdr:colOff>
      <xdr:row>20</xdr:row>
      <xdr:rowOff>25401</xdr:rowOff>
    </xdr:to>
    <xdr:pic>
      <xdr:nvPicPr>
        <xdr:cNvPr id="2" name="Picture 1">
          <a:extLst>
            <a:ext uri="{FF2B5EF4-FFF2-40B4-BE49-F238E27FC236}">
              <a16:creationId xmlns:a16="http://schemas.microsoft.com/office/drawing/2014/main" id="{EFDDE600-B094-0042-B278-B70A97EECD0F}"/>
            </a:ext>
          </a:extLst>
        </xdr:cNvPr>
        <xdr:cNvPicPr>
          <a:picLocks noChangeAspect="1"/>
        </xdr:cNvPicPr>
      </xdr:nvPicPr>
      <xdr:blipFill>
        <a:blip xmlns:r="http://schemas.openxmlformats.org/officeDocument/2006/relationships" r:embed="rId1"/>
        <a:stretch>
          <a:fillRect/>
        </a:stretch>
      </xdr:blipFill>
      <xdr:spPr>
        <a:xfrm>
          <a:off x="0" y="190501"/>
          <a:ext cx="8166268" cy="3898900"/>
        </a:xfrm>
        <a:prstGeom prst="rect">
          <a:avLst/>
        </a:prstGeom>
      </xdr:spPr>
    </xdr:pic>
    <xdr:clientData/>
  </xdr:twoCellAnchor>
  <xdr:twoCellAnchor editAs="oneCell">
    <xdr:from>
      <xdr:col>8</xdr:col>
      <xdr:colOff>698500</xdr:colOff>
      <xdr:row>1</xdr:row>
      <xdr:rowOff>0</xdr:rowOff>
    </xdr:from>
    <xdr:to>
      <xdr:col>19</xdr:col>
      <xdr:colOff>647700</xdr:colOff>
      <xdr:row>20</xdr:row>
      <xdr:rowOff>183753</xdr:rowOff>
    </xdr:to>
    <xdr:pic>
      <xdr:nvPicPr>
        <xdr:cNvPr id="3" name="Picture 2">
          <a:extLst>
            <a:ext uri="{FF2B5EF4-FFF2-40B4-BE49-F238E27FC236}">
              <a16:creationId xmlns:a16="http://schemas.microsoft.com/office/drawing/2014/main" id="{F6D0BBED-A327-5C46-B6D5-C12F2C2F9DDF}"/>
            </a:ext>
          </a:extLst>
        </xdr:cNvPr>
        <xdr:cNvPicPr>
          <a:picLocks noChangeAspect="1"/>
        </xdr:cNvPicPr>
      </xdr:nvPicPr>
      <xdr:blipFill>
        <a:blip xmlns:r="http://schemas.openxmlformats.org/officeDocument/2006/relationships" r:embed="rId2"/>
        <a:stretch>
          <a:fillRect/>
        </a:stretch>
      </xdr:blipFill>
      <xdr:spPr>
        <a:xfrm>
          <a:off x="8077200" y="203200"/>
          <a:ext cx="9029700" cy="4044553"/>
        </a:xfrm>
        <a:prstGeom prst="rect">
          <a:avLst/>
        </a:prstGeom>
      </xdr:spPr>
    </xdr:pic>
    <xdr:clientData/>
  </xdr:twoCellAnchor>
  <xdr:twoCellAnchor editAs="oneCell">
    <xdr:from>
      <xdr:col>0</xdr:col>
      <xdr:colOff>0</xdr:colOff>
      <xdr:row>23</xdr:row>
      <xdr:rowOff>152400</xdr:rowOff>
    </xdr:from>
    <xdr:to>
      <xdr:col>8</xdr:col>
      <xdr:colOff>785664</xdr:colOff>
      <xdr:row>43</xdr:row>
      <xdr:rowOff>25400</xdr:rowOff>
    </xdr:to>
    <xdr:pic>
      <xdr:nvPicPr>
        <xdr:cNvPr id="4" name="Picture 3">
          <a:extLst>
            <a:ext uri="{FF2B5EF4-FFF2-40B4-BE49-F238E27FC236}">
              <a16:creationId xmlns:a16="http://schemas.microsoft.com/office/drawing/2014/main" id="{D541A117-9529-D342-B965-B11444F4CF24}"/>
            </a:ext>
          </a:extLst>
        </xdr:cNvPr>
        <xdr:cNvPicPr>
          <a:picLocks noChangeAspect="1"/>
        </xdr:cNvPicPr>
      </xdr:nvPicPr>
      <xdr:blipFill>
        <a:blip xmlns:r="http://schemas.openxmlformats.org/officeDocument/2006/relationships" r:embed="rId3"/>
        <a:stretch>
          <a:fillRect/>
        </a:stretch>
      </xdr:blipFill>
      <xdr:spPr>
        <a:xfrm>
          <a:off x="0" y="4826000"/>
          <a:ext cx="8164364" cy="3937000"/>
        </a:xfrm>
        <a:prstGeom prst="rect">
          <a:avLst/>
        </a:prstGeom>
      </xdr:spPr>
    </xdr:pic>
    <xdr:clientData/>
  </xdr:twoCellAnchor>
  <xdr:twoCellAnchor editAs="oneCell">
    <xdr:from>
      <xdr:col>9</xdr:col>
      <xdr:colOff>228600</xdr:colOff>
      <xdr:row>23</xdr:row>
      <xdr:rowOff>38100</xdr:rowOff>
    </xdr:from>
    <xdr:to>
      <xdr:col>19</xdr:col>
      <xdr:colOff>533400</xdr:colOff>
      <xdr:row>43</xdr:row>
      <xdr:rowOff>125695</xdr:rowOff>
    </xdr:to>
    <xdr:pic>
      <xdr:nvPicPr>
        <xdr:cNvPr id="5" name="Picture 4">
          <a:extLst>
            <a:ext uri="{FF2B5EF4-FFF2-40B4-BE49-F238E27FC236}">
              <a16:creationId xmlns:a16="http://schemas.microsoft.com/office/drawing/2014/main" id="{84E6EBF7-CEC1-6249-A54C-E469271539EA}"/>
            </a:ext>
          </a:extLst>
        </xdr:cNvPr>
        <xdr:cNvPicPr>
          <a:picLocks noChangeAspect="1"/>
        </xdr:cNvPicPr>
      </xdr:nvPicPr>
      <xdr:blipFill>
        <a:blip xmlns:r="http://schemas.openxmlformats.org/officeDocument/2006/relationships" r:embed="rId4"/>
        <a:stretch>
          <a:fillRect/>
        </a:stretch>
      </xdr:blipFill>
      <xdr:spPr>
        <a:xfrm>
          <a:off x="8432800" y="4711700"/>
          <a:ext cx="8559800" cy="4151595"/>
        </a:xfrm>
        <a:prstGeom prst="rect">
          <a:avLst/>
        </a:prstGeom>
      </xdr:spPr>
    </xdr:pic>
    <xdr:clientData/>
  </xdr:twoCellAnchor>
  <xdr:twoCellAnchor editAs="oneCell">
    <xdr:from>
      <xdr:col>0</xdr:col>
      <xdr:colOff>0</xdr:colOff>
      <xdr:row>49</xdr:row>
      <xdr:rowOff>0</xdr:rowOff>
    </xdr:from>
    <xdr:to>
      <xdr:col>8</xdr:col>
      <xdr:colOff>774700</xdr:colOff>
      <xdr:row>68</xdr:row>
      <xdr:rowOff>11212</xdr:rowOff>
    </xdr:to>
    <xdr:pic>
      <xdr:nvPicPr>
        <xdr:cNvPr id="6" name="Picture 5">
          <a:extLst>
            <a:ext uri="{FF2B5EF4-FFF2-40B4-BE49-F238E27FC236}">
              <a16:creationId xmlns:a16="http://schemas.microsoft.com/office/drawing/2014/main" id="{AB5ED789-F7CC-F744-B3B1-7074485D614D}"/>
            </a:ext>
          </a:extLst>
        </xdr:cNvPr>
        <xdr:cNvPicPr>
          <a:picLocks noChangeAspect="1"/>
        </xdr:cNvPicPr>
      </xdr:nvPicPr>
      <xdr:blipFill>
        <a:blip xmlns:r="http://schemas.openxmlformats.org/officeDocument/2006/relationships" r:embed="rId5"/>
        <a:stretch>
          <a:fillRect/>
        </a:stretch>
      </xdr:blipFill>
      <xdr:spPr>
        <a:xfrm>
          <a:off x="0" y="9956800"/>
          <a:ext cx="8153400" cy="3872012"/>
        </a:xfrm>
        <a:prstGeom prst="rect">
          <a:avLst/>
        </a:prstGeom>
      </xdr:spPr>
    </xdr:pic>
    <xdr:clientData/>
  </xdr:twoCellAnchor>
  <xdr:twoCellAnchor editAs="oneCell">
    <xdr:from>
      <xdr:col>10</xdr:col>
      <xdr:colOff>0</xdr:colOff>
      <xdr:row>49</xdr:row>
      <xdr:rowOff>0</xdr:rowOff>
    </xdr:from>
    <xdr:to>
      <xdr:col>19</xdr:col>
      <xdr:colOff>552379</xdr:colOff>
      <xdr:row>68</xdr:row>
      <xdr:rowOff>0</xdr:rowOff>
    </xdr:to>
    <xdr:pic>
      <xdr:nvPicPr>
        <xdr:cNvPr id="7" name="Picture 6">
          <a:extLst>
            <a:ext uri="{FF2B5EF4-FFF2-40B4-BE49-F238E27FC236}">
              <a16:creationId xmlns:a16="http://schemas.microsoft.com/office/drawing/2014/main" id="{1BBD1D4A-36C3-5B40-A061-C9741654DD7A}"/>
            </a:ext>
          </a:extLst>
        </xdr:cNvPr>
        <xdr:cNvPicPr>
          <a:picLocks noChangeAspect="1"/>
        </xdr:cNvPicPr>
      </xdr:nvPicPr>
      <xdr:blipFill>
        <a:blip xmlns:r="http://schemas.openxmlformats.org/officeDocument/2006/relationships" r:embed="rId6"/>
        <a:stretch>
          <a:fillRect/>
        </a:stretch>
      </xdr:blipFill>
      <xdr:spPr>
        <a:xfrm>
          <a:off x="9029700" y="9956800"/>
          <a:ext cx="7981879" cy="3860800"/>
        </a:xfrm>
        <a:prstGeom prst="rect">
          <a:avLst/>
        </a:prstGeom>
      </xdr:spPr>
    </xdr:pic>
    <xdr:clientData/>
  </xdr:twoCellAnchor>
  <xdr:twoCellAnchor editAs="oneCell">
    <xdr:from>
      <xdr:col>0</xdr:col>
      <xdr:colOff>0</xdr:colOff>
      <xdr:row>73</xdr:row>
      <xdr:rowOff>0</xdr:rowOff>
    </xdr:from>
    <xdr:to>
      <xdr:col>8</xdr:col>
      <xdr:colOff>822731</xdr:colOff>
      <xdr:row>92</xdr:row>
      <xdr:rowOff>38100</xdr:rowOff>
    </xdr:to>
    <xdr:pic>
      <xdr:nvPicPr>
        <xdr:cNvPr id="8" name="Picture 7">
          <a:extLst>
            <a:ext uri="{FF2B5EF4-FFF2-40B4-BE49-F238E27FC236}">
              <a16:creationId xmlns:a16="http://schemas.microsoft.com/office/drawing/2014/main" id="{1CBF7171-1C12-5245-BBB3-821363185236}"/>
            </a:ext>
          </a:extLst>
        </xdr:cNvPr>
        <xdr:cNvPicPr>
          <a:picLocks noChangeAspect="1"/>
        </xdr:cNvPicPr>
      </xdr:nvPicPr>
      <xdr:blipFill>
        <a:blip xmlns:r="http://schemas.openxmlformats.org/officeDocument/2006/relationships" r:embed="rId7"/>
        <a:stretch>
          <a:fillRect/>
        </a:stretch>
      </xdr:blipFill>
      <xdr:spPr>
        <a:xfrm>
          <a:off x="0" y="14833600"/>
          <a:ext cx="8201431" cy="3898900"/>
        </a:xfrm>
        <a:prstGeom prst="rect">
          <a:avLst/>
        </a:prstGeom>
      </xdr:spPr>
    </xdr:pic>
    <xdr:clientData/>
  </xdr:twoCellAnchor>
  <xdr:twoCellAnchor editAs="oneCell">
    <xdr:from>
      <xdr:col>9</xdr:col>
      <xdr:colOff>825499</xdr:colOff>
      <xdr:row>73</xdr:row>
      <xdr:rowOff>0</xdr:rowOff>
    </xdr:from>
    <xdr:to>
      <xdr:col>20</xdr:col>
      <xdr:colOff>20838</xdr:colOff>
      <xdr:row>92</xdr:row>
      <xdr:rowOff>25400</xdr:rowOff>
    </xdr:to>
    <xdr:pic>
      <xdr:nvPicPr>
        <xdr:cNvPr id="9" name="Picture 8">
          <a:extLst>
            <a:ext uri="{FF2B5EF4-FFF2-40B4-BE49-F238E27FC236}">
              <a16:creationId xmlns:a16="http://schemas.microsoft.com/office/drawing/2014/main" id="{83AEC5B9-8593-CE4A-A411-A6B5B90C8EE1}"/>
            </a:ext>
          </a:extLst>
        </xdr:cNvPr>
        <xdr:cNvPicPr>
          <a:picLocks noChangeAspect="1"/>
        </xdr:cNvPicPr>
      </xdr:nvPicPr>
      <xdr:blipFill>
        <a:blip xmlns:r="http://schemas.openxmlformats.org/officeDocument/2006/relationships" r:embed="rId8"/>
        <a:stretch>
          <a:fillRect/>
        </a:stretch>
      </xdr:blipFill>
      <xdr:spPr>
        <a:xfrm>
          <a:off x="9029699" y="14833600"/>
          <a:ext cx="8275839" cy="38862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25400</xdr:colOff>
      <xdr:row>0</xdr:row>
      <xdr:rowOff>25400</xdr:rowOff>
    </xdr:from>
    <xdr:to>
      <xdr:col>15</xdr:col>
      <xdr:colOff>738690</xdr:colOff>
      <xdr:row>25</xdr:row>
      <xdr:rowOff>50800</xdr:rowOff>
    </xdr:to>
    <xdr:pic>
      <xdr:nvPicPr>
        <xdr:cNvPr id="3" name="Picture 2">
          <a:extLst>
            <a:ext uri="{FF2B5EF4-FFF2-40B4-BE49-F238E27FC236}">
              <a16:creationId xmlns:a16="http://schemas.microsoft.com/office/drawing/2014/main" id="{51701763-C938-EC4B-98E2-8A3FBAEF2835}"/>
            </a:ext>
          </a:extLst>
        </xdr:cNvPr>
        <xdr:cNvPicPr>
          <a:picLocks noChangeAspect="1"/>
        </xdr:cNvPicPr>
      </xdr:nvPicPr>
      <xdr:blipFill>
        <a:blip xmlns:r="http://schemas.openxmlformats.org/officeDocument/2006/relationships" r:embed="rId1"/>
        <a:stretch>
          <a:fillRect/>
        </a:stretch>
      </xdr:blipFill>
      <xdr:spPr>
        <a:xfrm>
          <a:off x="5626100" y="25400"/>
          <a:ext cx="8142790" cy="51054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9</xdr:col>
      <xdr:colOff>25400</xdr:colOff>
      <xdr:row>19</xdr:row>
      <xdr:rowOff>12700</xdr:rowOff>
    </xdr:from>
    <xdr:to>
      <xdr:col>16</xdr:col>
      <xdr:colOff>419100</xdr:colOff>
      <xdr:row>37</xdr:row>
      <xdr:rowOff>193963</xdr:rowOff>
    </xdr:to>
    <xdr:graphicFrame macro="">
      <xdr:nvGraphicFramePr>
        <xdr:cNvPr id="2" name="Chart 1">
          <a:extLst>
            <a:ext uri="{FF2B5EF4-FFF2-40B4-BE49-F238E27FC236}">
              <a16:creationId xmlns:a16="http://schemas.microsoft.com/office/drawing/2014/main" id="{2D2E5B37-770F-D44A-889E-5326521661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25400</xdr:colOff>
      <xdr:row>38</xdr:row>
      <xdr:rowOff>12700</xdr:rowOff>
    </xdr:from>
    <xdr:to>
      <xdr:col>16</xdr:col>
      <xdr:colOff>419100</xdr:colOff>
      <xdr:row>56</xdr:row>
      <xdr:rowOff>193963</xdr:rowOff>
    </xdr:to>
    <xdr:graphicFrame macro="">
      <xdr:nvGraphicFramePr>
        <xdr:cNvPr id="3" name="Chart 2">
          <a:extLst>
            <a:ext uri="{FF2B5EF4-FFF2-40B4-BE49-F238E27FC236}">
              <a16:creationId xmlns:a16="http://schemas.microsoft.com/office/drawing/2014/main" id="{99105896-EDD9-614B-BF72-ED3D74049A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iBolden/Downloads/o2Tit_diurnalNo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e with UW CTD"/>
      <sheetName val="Compare with LoanerCTD (Seabird"/>
      <sheetName val="hand held O2"/>
      <sheetName val="O2 concentrations"/>
      <sheetName val="replicate analysis"/>
      <sheetName val="Bottle Volumes"/>
      <sheetName val="tit volumes"/>
      <sheetName val="Standardization"/>
      <sheetName val="LoanerCTD"/>
      <sheetName val="SAMI pH (w aandera)"/>
      <sheetName val="AanderaaO2_raw"/>
      <sheetName val="UW CTD"/>
    </sheetNames>
    <sheetDataSet>
      <sheetData sheetId="0">
        <row r="7">
          <cell r="B7">
            <v>318.868067</v>
          </cell>
          <cell r="C7">
            <v>212.75</v>
          </cell>
        </row>
        <row r="8">
          <cell r="B8">
            <v>318.87557900000002</v>
          </cell>
          <cell r="C8">
            <v>259.26</v>
          </cell>
        </row>
        <row r="9">
          <cell r="B9">
            <v>318.88252299999999</v>
          </cell>
          <cell r="C9">
            <v>241.25</v>
          </cell>
        </row>
        <row r="10">
          <cell r="B10">
            <v>318.88946800000002</v>
          </cell>
          <cell r="C10">
            <v>248.03</v>
          </cell>
        </row>
        <row r="11">
          <cell r="B11">
            <v>318.896412</v>
          </cell>
          <cell r="C11">
            <v>250.12</v>
          </cell>
        </row>
        <row r="12">
          <cell r="B12">
            <v>318.903345</v>
          </cell>
          <cell r="C12">
            <v>254.09</v>
          </cell>
        </row>
        <row r="13">
          <cell r="B13">
            <v>318.91028899999998</v>
          </cell>
          <cell r="C13">
            <v>263.68</v>
          </cell>
        </row>
        <row r="14">
          <cell r="B14">
            <v>318.91723400000001</v>
          </cell>
          <cell r="C14">
            <v>269.7</v>
          </cell>
        </row>
        <row r="15">
          <cell r="B15">
            <v>318.92417799999998</v>
          </cell>
          <cell r="C15">
            <v>274.89</v>
          </cell>
        </row>
        <row r="16">
          <cell r="B16">
            <v>318.93112300000001</v>
          </cell>
          <cell r="C16">
            <v>279.62</v>
          </cell>
        </row>
        <row r="17">
          <cell r="B17">
            <v>318.93806699999999</v>
          </cell>
          <cell r="C17">
            <v>281.04000000000002</v>
          </cell>
        </row>
        <row r="18">
          <cell r="B18">
            <v>318.94501200000002</v>
          </cell>
          <cell r="C18">
            <v>281.05</v>
          </cell>
        </row>
        <row r="19">
          <cell r="B19">
            <v>318.951956</v>
          </cell>
          <cell r="C19">
            <v>283.89999999999998</v>
          </cell>
        </row>
        <row r="20">
          <cell r="B20">
            <v>318.95890000000003</v>
          </cell>
          <cell r="C20">
            <v>287.51</v>
          </cell>
        </row>
        <row r="21">
          <cell r="B21">
            <v>318.965845</v>
          </cell>
          <cell r="C21">
            <v>288.7</v>
          </cell>
        </row>
        <row r="22">
          <cell r="B22">
            <v>318.97278899999998</v>
          </cell>
          <cell r="C22">
            <v>288.57</v>
          </cell>
        </row>
        <row r="23">
          <cell r="B23">
            <v>318.97973400000001</v>
          </cell>
          <cell r="C23">
            <v>290.14999999999998</v>
          </cell>
        </row>
        <row r="24">
          <cell r="B24">
            <v>318.98667799999998</v>
          </cell>
          <cell r="C24">
            <v>291.14999999999998</v>
          </cell>
        </row>
        <row r="25">
          <cell r="B25">
            <v>318.99362300000001</v>
          </cell>
          <cell r="C25">
            <v>293.37</v>
          </cell>
        </row>
        <row r="26">
          <cell r="B26">
            <v>319.00056699999999</v>
          </cell>
          <cell r="C26">
            <v>293.92</v>
          </cell>
        </row>
        <row r="27">
          <cell r="B27">
            <v>319.00751200000002</v>
          </cell>
          <cell r="C27">
            <v>294.13</v>
          </cell>
        </row>
        <row r="28">
          <cell r="B28">
            <v>319.014456</v>
          </cell>
          <cell r="C28">
            <v>296.48</v>
          </cell>
        </row>
        <row r="29">
          <cell r="B29">
            <v>319.02140000000003</v>
          </cell>
          <cell r="C29">
            <v>296.55</v>
          </cell>
        </row>
        <row r="30">
          <cell r="B30">
            <v>319.028345</v>
          </cell>
          <cell r="C30">
            <v>294.43</v>
          </cell>
        </row>
        <row r="31">
          <cell r="B31">
            <v>319.03528899999998</v>
          </cell>
          <cell r="C31">
            <v>295.06</v>
          </cell>
        </row>
        <row r="32">
          <cell r="B32">
            <v>319.04223400000001</v>
          </cell>
          <cell r="C32">
            <v>297.25</v>
          </cell>
        </row>
        <row r="33">
          <cell r="B33">
            <v>319.04917799999998</v>
          </cell>
          <cell r="C33">
            <v>299.27</v>
          </cell>
        </row>
        <row r="34">
          <cell r="B34">
            <v>319.05612300000001</v>
          </cell>
          <cell r="C34">
            <v>306.88</v>
          </cell>
        </row>
        <row r="35">
          <cell r="B35">
            <v>319.06306699999999</v>
          </cell>
          <cell r="C35">
            <v>308.60000000000002</v>
          </cell>
        </row>
        <row r="36">
          <cell r="B36">
            <v>319.07001200000002</v>
          </cell>
          <cell r="C36">
            <v>310.72000000000003</v>
          </cell>
        </row>
        <row r="37">
          <cell r="B37">
            <v>319.076956</v>
          </cell>
          <cell r="C37">
            <v>310.45999999999998</v>
          </cell>
        </row>
        <row r="38">
          <cell r="B38">
            <v>319.083912</v>
          </cell>
          <cell r="C38">
            <v>309.31</v>
          </cell>
        </row>
        <row r="39">
          <cell r="B39">
            <v>319.09085599999997</v>
          </cell>
          <cell r="C39">
            <v>306.14</v>
          </cell>
        </row>
        <row r="40">
          <cell r="B40">
            <v>319.097801</v>
          </cell>
          <cell r="C40">
            <v>300.7</v>
          </cell>
        </row>
        <row r="41">
          <cell r="B41">
            <v>319.10474499999998</v>
          </cell>
          <cell r="C41">
            <v>302.56</v>
          </cell>
        </row>
        <row r="42">
          <cell r="B42">
            <v>319.11169000000001</v>
          </cell>
          <cell r="C42">
            <v>301.74</v>
          </cell>
        </row>
        <row r="43">
          <cell r="B43">
            <v>319.11863399999999</v>
          </cell>
          <cell r="C43">
            <v>296.27</v>
          </cell>
        </row>
        <row r="44">
          <cell r="B44">
            <v>319.12557900000002</v>
          </cell>
          <cell r="C44">
            <v>290.3</v>
          </cell>
        </row>
        <row r="45">
          <cell r="B45">
            <v>319.13252299999999</v>
          </cell>
          <cell r="C45">
            <v>282.43</v>
          </cell>
        </row>
        <row r="46">
          <cell r="B46">
            <v>319.13946800000002</v>
          </cell>
          <cell r="C46">
            <v>275.41000000000003</v>
          </cell>
        </row>
        <row r="47">
          <cell r="B47">
            <v>319.146412</v>
          </cell>
          <cell r="C47">
            <v>267.8</v>
          </cell>
        </row>
        <row r="48">
          <cell r="B48">
            <v>319.153345</v>
          </cell>
          <cell r="C48">
            <v>262.73</v>
          </cell>
        </row>
        <row r="49">
          <cell r="B49">
            <v>319.16028899999998</v>
          </cell>
          <cell r="C49">
            <v>257.41000000000003</v>
          </cell>
        </row>
        <row r="50">
          <cell r="B50">
            <v>319.16723400000001</v>
          </cell>
          <cell r="C50">
            <v>253.76</v>
          </cell>
        </row>
        <row r="51">
          <cell r="B51">
            <v>319.17417799999998</v>
          </cell>
          <cell r="C51">
            <v>247.02</v>
          </cell>
        </row>
        <row r="52">
          <cell r="B52">
            <v>319.18112300000001</v>
          </cell>
          <cell r="C52">
            <v>237.19</v>
          </cell>
        </row>
        <row r="53">
          <cell r="B53">
            <v>319.18806699999999</v>
          </cell>
          <cell r="C53">
            <v>229.71</v>
          </cell>
        </row>
        <row r="54">
          <cell r="B54">
            <v>319.19501200000002</v>
          </cell>
          <cell r="C54">
            <v>227.49</v>
          </cell>
        </row>
        <row r="55">
          <cell r="B55">
            <v>319.201956</v>
          </cell>
          <cell r="C55">
            <v>223.19</v>
          </cell>
        </row>
        <row r="56">
          <cell r="B56">
            <v>319.20890000000003</v>
          </cell>
          <cell r="C56">
            <v>219.21</v>
          </cell>
        </row>
        <row r="57">
          <cell r="B57">
            <v>319.215845</v>
          </cell>
          <cell r="C57">
            <v>214.61</v>
          </cell>
        </row>
        <row r="58">
          <cell r="B58">
            <v>319.22278899999998</v>
          </cell>
          <cell r="C58">
            <v>212.32</v>
          </cell>
        </row>
        <row r="59">
          <cell r="B59">
            <v>319.22973400000001</v>
          </cell>
          <cell r="C59">
            <v>206.88</v>
          </cell>
        </row>
        <row r="60">
          <cell r="B60">
            <v>319.23667799999998</v>
          </cell>
          <cell r="C60">
            <v>200.22</v>
          </cell>
        </row>
        <row r="61">
          <cell r="B61">
            <v>319.24362300000001</v>
          </cell>
          <cell r="C61">
            <v>196.14</v>
          </cell>
        </row>
        <row r="62">
          <cell r="B62">
            <v>319.25056699999999</v>
          </cell>
          <cell r="C62">
            <v>195.88</v>
          </cell>
        </row>
        <row r="63">
          <cell r="B63">
            <v>319.25751200000002</v>
          </cell>
          <cell r="C63">
            <v>191.76</v>
          </cell>
        </row>
        <row r="64">
          <cell r="B64">
            <v>319.264456</v>
          </cell>
          <cell r="C64">
            <v>186.23</v>
          </cell>
        </row>
        <row r="65">
          <cell r="B65">
            <v>319.27140000000003</v>
          </cell>
          <cell r="C65">
            <v>185.24</v>
          </cell>
        </row>
        <row r="66">
          <cell r="B66">
            <v>319.278345</v>
          </cell>
          <cell r="C66">
            <v>182.34</v>
          </cell>
        </row>
        <row r="67">
          <cell r="B67">
            <v>319.28528899999998</v>
          </cell>
          <cell r="C67">
            <v>177.67</v>
          </cell>
        </row>
        <row r="68">
          <cell r="B68">
            <v>319.29223400000001</v>
          </cell>
          <cell r="C68">
            <v>172.89</v>
          </cell>
        </row>
        <row r="69">
          <cell r="B69">
            <v>319.29917799999998</v>
          </cell>
          <cell r="C69">
            <v>169.7</v>
          </cell>
        </row>
        <row r="70">
          <cell r="B70">
            <v>319.30612300000001</v>
          </cell>
          <cell r="C70">
            <v>166.89</v>
          </cell>
        </row>
        <row r="71">
          <cell r="B71">
            <v>319.31306699999999</v>
          </cell>
          <cell r="C71">
            <v>165.43</v>
          </cell>
        </row>
        <row r="72">
          <cell r="B72">
            <v>319.32001200000002</v>
          </cell>
          <cell r="C72">
            <v>164.19</v>
          </cell>
        </row>
        <row r="73">
          <cell r="B73">
            <v>319.326956</v>
          </cell>
          <cell r="C73">
            <v>162.91999999999999</v>
          </cell>
        </row>
        <row r="74">
          <cell r="B74">
            <v>319.33390000000003</v>
          </cell>
          <cell r="C74">
            <v>161.85</v>
          </cell>
        </row>
        <row r="75">
          <cell r="B75">
            <v>319.34085599999997</v>
          </cell>
          <cell r="C75">
            <v>161</v>
          </cell>
        </row>
        <row r="76">
          <cell r="B76">
            <v>319.347801</v>
          </cell>
          <cell r="C76">
            <v>160.02000000000001</v>
          </cell>
        </row>
        <row r="77">
          <cell r="B77">
            <v>319.35474499999998</v>
          </cell>
          <cell r="C77">
            <v>159.13999999999999</v>
          </cell>
        </row>
        <row r="78">
          <cell r="B78">
            <v>319.36169000000001</v>
          </cell>
          <cell r="C78">
            <v>157.97999999999999</v>
          </cell>
        </row>
        <row r="79">
          <cell r="B79">
            <v>319.36863399999999</v>
          </cell>
          <cell r="C79">
            <v>157.43</v>
          </cell>
        </row>
        <row r="80">
          <cell r="B80">
            <v>319.37557900000002</v>
          </cell>
          <cell r="C80">
            <v>156.37</v>
          </cell>
        </row>
        <row r="81">
          <cell r="B81">
            <v>319.38252299999999</v>
          </cell>
          <cell r="C81">
            <v>155.44</v>
          </cell>
        </row>
        <row r="82">
          <cell r="B82">
            <v>319.38946800000002</v>
          </cell>
          <cell r="C82">
            <v>154.37</v>
          </cell>
        </row>
        <row r="83">
          <cell r="B83">
            <v>319.396412</v>
          </cell>
          <cell r="C83">
            <v>154.58000000000001</v>
          </cell>
        </row>
        <row r="84">
          <cell r="B84">
            <v>319.40335599999997</v>
          </cell>
          <cell r="C84">
            <v>154.74</v>
          </cell>
        </row>
        <row r="85">
          <cell r="B85">
            <v>319.41028899999998</v>
          </cell>
          <cell r="C85">
            <v>160.1</v>
          </cell>
        </row>
        <row r="86">
          <cell r="B86">
            <v>319.41723400000001</v>
          </cell>
          <cell r="C86">
            <v>164.53</v>
          </cell>
        </row>
        <row r="87">
          <cell r="B87">
            <v>319.42417799999998</v>
          </cell>
          <cell r="C87">
            <v>165.53</v>
          </cell>
        </row>
        <row r="88">
          <cell r="B88">
            <v>319.43112300000001</v>
          </cell>
          <cell r="C88">
            <v>165.13</v>
          </cell>
        </row>
        <row r="89">
          <cell r="B89">
            <v>319.43806699999999</v>
          </cell>
          <cell r="C89">
            <v>165.55</v>
          </cell>
        </row>
        <row r="90">
          <cell r="B90">
            <v>319.44501200000002</v>
          </cell>
          <cell r="C90">
            <v>165.15</v>
          </cell>
        </row>
        <row r="91">
          <cell r="B91">
            <v>319.451956</v>
          </cell>
          <cell r="C91">
            <v>163.65</v>
          </cell>
        </row>
        <row r="92">
          <cell r="B92">
            <v>319.45890000000003</v>
          </cell>
          <cell r="C92">
            <v>162.72</v>
          </cell>
        </row>
        <row r="93">
          <cell r="B93">
            <v>319.465845</v>
          </cell>
          <cell r="C93">
            <v>162.03</v>
          </cell>
        </row>
        <row r="94">
          <cell r="B94">
            <v>319.47278899999998</v>
          </cell>
          <cell r="C94">
            <v>162.41</v>
          </cell>
        </row>
        <row r="95">
          <cell r="B95">
            <v>319.47973400000001</v>
          </cell>
          <cell r="C95">
            <v>163.49</v>
          </cell>
        </row>
        <row r="96">
          <cell r="B96">
            <v>319.48667799999998</v>
          </cell>
          <cell r="C96">
            <v>162.43</v>
          </cell>
        </row>
        <row r="97">
          <cell r="B97">
            <v>319.49362300000001</v>
          </cell>
          <cell r="C97">
            <v>161.36000000000001</v>
          </cell>
        </row>
        <row r="98">
          <cell r="B98">
            <v>319.50056699999999</v>
          </cell>
          <cell r="C98">
            <v>161.99</v>
          </cell>
        </row>
        <row r="99">
          <cell r="B99">
            <v>319.50751200000002</v>
          </cell>
          <cell r="C99">
            <v>161.03</v>
          </cell>
        </row>
        <row r="100">
          <cell r="B100">
            <v>319.514456</v>
          </cell>
          <cell r="C100">
            <v>160.11000000000001</v>
          </cell>
        </row>
        <row r="101">
          <cell r="B101">
            <v>319.52140000000003</v>
          </cell>
          <cell r="C101">
            <v>161.01</v>
          </cell>
        </row>
        <row r="102">
          <cell r="B102">
            <v>319.528345</v>
          </cell>
          <cell r="C102">
            <v>160.72999999999999</v>
          </cell>
        </row>
        <row r="103">
          <cell r="B103">
            <v>319.53528899999998</v>
          </cell>
          <cell r="C103">
            <v>161.02000000000001</v>
          </cell>
        </row>
        <row r="104">
          <cell r="B104">
            <v>319.54223400000001</v>
          </cell>
          <cell r="C104">
            <v>160.1</v>
          </cell>
        </row>
        <row r="105">
          <cell r="B105">
            <v>319.54917799999998</v>
          </cell>
          <cell r="C105">
            <v>161.04</v>
          </cell>
        </row>
        <row r="106">
          <cell r="B106">
            <v>319.55612300000001</v>
          </cell>
          <cell r="C106">
            <v>160.03</v>
          </cell>
        </row>
        <row r="107">
          <cell r="B107">
            <v>319.56306699999999</v>
          </cell>
          <cell r="C107">
            <v>161.36000000000001</v>
          </cell>
        </row>
        <row r="108">
          <cell r="B108">
            <v>319.57001200000002</v>
          </cell>
          <cell r="C108">
            <v>159.9</v>
          </cell>
        </row>
        <row r="109">
          <cell r="B109">
            <v>319.576956</v>
          </cell>
          <cell r="C109">
            <v>160.54</v>
          </cell>
        </row>
        <row r="110">
          <cell r="B110">
            <v>319.58390000000003</v>
          </cell>
          <cell r="C110">
            <v>159.54</v>
          </cell>
        </row>
        <row r="111">
          <cell r="B111">
            <v>319.590845</v>
          </cell>
          <cell r="C111">
            <v>159.16</v>
          </cell>
        </row>
        <row r="112">
          <cell r="B112">
            <v>319.597801</v>
          </cell>
          <cell r="C112">
            <v>159.65</v>
          </cell>
        </row>
        <row r="113">
          <cell r="B113">
            <v>319.60474499999998</v>
          </cell>
          <cell r="C113">
            <v>159.32</v>
          </cell>
        </row>
        <row r="114">
          <cell r="B114">
            <v>319.61169000000001</v>
          </cell>
          <cell r="C114">
            <v>158.03</v>
          </cell>
        </row>
        <row r="115">
          <cell r="B115">
            <v>319.61863399999999</v>
          </cell>
          <cell r="C115">
            <v>157.51</v>
          </cell>
        </row>
        <row r="116">
          <cell r="B116">
            <v>319.62557900000002</v>
          </cell>
          <cell r="C116">
            <v>157.13</v>
          </cell>
        </row>
        <row r="117">
          <cell r="B117">
            <v>319.63252299999999</v>
          </cell>
          <cell r="C117">
            <v>156.85</v>
          </cell>
        </row>
        <row r="118">
          <cell r="B118">
            <v>319.63946800000002</v>
          </cell>
          <cell r="C118">
            <v>155.33000000000001</v>
          </cell>
        </row>
        <row r="119">
          <cell r="B119">
            <v>319.646412</v>
          </cell>
          <cell r="C119">
            <v>156.62</v>
          </cell>
        </row>
        <row r="120">
          <cell r="B120">
            <v>319.65335599999997</v>
          </cell>
          <cell r="C120">
            <v>158.66999999999999</v>
          </cell>
        </row>
        <row r="121">
          <cell r="B121">
            <v>319.660301</v>
          </cell>
          <cell r="C121">
            <v>165.6</v>
          </cell>
        </row>
        <row r="122">
          <cell r="B122">
            <v>319.66724499999998</v>
          </cell>
          <cell r="C122">
            <v>167.84</v>
          </cell>
        </row>
        <row r="123">
          <cell r="B123">
            <v>319.67417799999998</v>
          </cell>
          <cell r="C123">
            <v>167.65</v>
          </cell>
        </row>
        <row r="124">
          <cell r="B124">
            <v>319.68112300000001</v>
          </cell>
          <cell r="C124">
            <v>167.12</v>
          </cell>
        </row>
        <row r="125">
          <cell r="B125">
            <v>319.68806699999999</v>
          </cell>
          <cell r="C125">
            <v>169.03</v>
          </cell>
        </row>
        <row r="126">
          <cell r="B126">
            <v>319.69501200000002</v>
          </cell>
          <cell r="C126">
            <v>170.5</v>
          </cell>
        </row>
        <row r="127">
          <cell r="B127">
            <v>319.701956</v>
          </cell>
          <cell r="C127">
            <v>173.16</v>
          </cell>
        </row>
        <row r="128">
          <cell r="B128">
            <v>319.70890000000003</v>
          </cell>
          <cell r="C128">
            <v>180.19</v>
          </cell>
        </row>
        <row r="129">
          <cell r="B129">
            <v>319.715845</v>
          </cell>
          <cell r="C129">
            <v>183.89</v>
          </cell>
        </row>
        <row r="130">
          <cell r="B130">
            <v>319.72278899999998</v>
          </cell>
          <cell r="C130">
            <v>185.73</v>
          </cell>
        </row>
        <row r="131">
          <cell r="B131">
            <v>319.72973400000001</v>
          </cell>
          <cell r="C131">
            <v>189.32</v>
          </cell>
        </row>
        <row r="132">
          <cell r="B132">
            <v>319.73667799999998</v>
          </cell>
          <cell r="C132">
            <v>194.54</v>
          </cell>
        </row>
        <row r="133">
          <cell r="B133">
            <v>319.74362300000001</v>
          </cell>
          <cell r="C133">
            <v>199.55</v>
          </cell>
        </row>
        <row r="134">
          <cell r="B134">
            <v>319.75056699999999</v>
          </cell>
          <cell r="C134">
            <v>201.8</v>
          </cell>
        </row>
        <row r="135">
          <cell r="B135">
            <v>319.75751200000002</v>
          </cell>
          <cell r="C135">
            <v>207.11</v>
          </cell>
        </row>
        <row r="136">
          <cell r="B136">
            <v>319.764456</v>
          </cell>
          <cell r="C136">
            <v>210.45</v>
          </cell>
        </row>
        <row r="137">
          <cell r="B137">
            <v>319.77140000000003</v>
          </cell>
          <cell r="C137">
            <v>213.23</v>
          </cell>
        </row>
        <row r="138">
          <cell r="B138">
            <v>319.778345</v>
          </cell>
          <cell r="C138">
            <v>216.39</v>
          </cell>
        </row>
        <row r="139">
          <cell r="B139">
            <v>319.78528899999998</v>
          </cell>
          <cell r="C139">
            <v>219.6</v>
          </cell>
        </row>
        <row r="140">
          <cell r="B140">
            <v>319.79223400000001</v>
          </cell>
          <cell r="C140">
            <v>222.68</v>
          </cell>
        </row>
        <row r="141">
          <cell r="B141">
            <v>319.79917799999998</v>
          </cell>
          <cell r="C141">
            <v>225.88</v>
          </cell>
        </row>
        <row r="142">
          <cell r="B142">
            <v>319.80612300000001</v>
          </cell>
          <cell r="C142">
            <v>229.57</v>
          </cell>
        </row>
        <row r="143">
          <cell r="B143">
            <v>319.81306699999999</v>
          </cell>
          <cell r="C143">
            <v>233.06</v>
          </cell>
        </row>
        <row r="144">
          <cell r="B144">
            <v>319.82001200000002</v>
          </cell>
          <cell r="C144">
            <v>236.56</v>
          </cell>
        </row>
        <row r="145">
          <cell r="B145">
            <v>319.826956</v>
          </cell>
          <cell r="C145">
            <v>239.32</v>
          </cell>
        </row>
        <row r="146">
          <cell r="B146">
            <v>319.83390000000003</v>
          </cell>
          <cell r="C146">
            <v>241.71</v>
          </cell>
        </row>
        <row r="147">
          <cell r="B147">
            <v>319.840845</v>
          </cell>
          <cell r="C147">
            <v>244.38</v>
          </cell>
        </row>
        <row r="148">
          <cell r="B148">
            <v>319.84778899999998</v>
          </cell>
          <cell r="C148">
            <v>245.49</v>
          </cell>
        </row>
        <row r="149">
          <cell r="B149">
            <v>319.85474499999998</v>
          </cell>
          <cell r="C149">
            <v>247.71</v>
          </cell>
        </row>
        <row r="150">
          <cell r="B150">
            <v>319.86169000000001</v>
          </cell>
          <cell r="C150">
            <v>249.17</v>
          </cell>
        </row>
        <row r="151">
          <cell r="B151">
            <v>319.86863399999999</v>
          </cell>
          <cell r="C151">
            <v>250.02</v>
          </cell>
        </row>
        <row r="152">
          <cell r="B152">
            <v>319.87557900000002</v>
          </cell>
          <cell r="C152">
            <v>252.9</v>
          </cell>
        </row>
        <row r="153">
          <cell r="B153">
            <v>319.88252299999999</v>
          </cell>
          <cell r="C153">
            <v>251.45</v>
          </cell>
        </row>
        <row r="154">
          <cell r="B154">
            <v>319.88946800000002</v>
          </cell>
          <cell r="C154">
            <v>252.04</v>
          </cell>
        </row>
        <row r="155">
          <cell r="B155">
            <v>319.896412</v>
          </cell>
          <cell r="C155">
            <v>253.89</v>
          </cell>
        </row>
        <row r="156">
          <cell r="B156">
            <v>319.90335599999997</v>
          </cell>
          <cell r="C156">
            <v>255.72</v>
          </cell>
        </row>
        <row r="157">
          <cell r="B157">
            <v>319.910301</v>
          </cell>
          <cell r="C157">
            <v>258.12</v>
          </cell>
        </row>
        <row r="158">
          <cell r="B158">
            <v>319.91724499999998</v>
          </cell>
          <cell r="C158">
            <v>260.66000000000003</v>
          </cell>
        </row>
        <row r="159">
          <cell r="B159">
            <v>319.92417799999998</v>
          </cell>
          <cell r="C159">
            <v>263.33</v>
          </cell>
        </row>
        <row r="160">
          <cell r="B160">
            <v>319.93112300000001</v>
          </cell>
          <cell r="C160">
            <v>265.89999999999998</v>
          </cell>
        </row>
        <row r="161">
          <cell r="B161">
            <v>319.93806699999999</v>
          </cell>
          <cell r="C161">
            <v>264.06</v>
          </cell>
        </row>
        <row r="162">
          <cell r="B162">
            <v>319.94501200000002</v>
          </cell>
          <cell r="C162">
            <v>259.38</v>
          </cell>
        </row>
        <row r="163">
          <cell r="B163">
            <v>319.951956</v>
          </cell>
          <cell r="C163">
            <v>250.97</v>
          </cell>
        </row>
        <row r="164">
          <cell r="B164">
            <v>319.95890000000003</v>
          </cell>
          <cell r="C164">
            <v>248.13</v>
          </cell>
        </row>
        <row r="165">
          <cell r="B165">
            <v>319.965845</v>
          </cell>
          <cell r="C165">
            <v>249.54</v>
          </cell>
        </row>
        <row r="166">
          <cell r="B166">
            <v>319.97278899999998</v>
          </cell>
          <cell r="C166">
            <v>249.88</v>
          </cell>
        </row>
        <row r="167">
          <cell r="B167">
            <v>319.97973400000001</v>
          </cell>
          <cell r="C167">
            <v>253.05</v>
          </cell>
        </row>
        <row r="168">
          <cell r="B168">
            <v>319.98667799999998</v>
          </cell>
          <cell r="C168">
            <v>258.23</v>
          </cell>
        </row>
        <row r="169">
          <cell r="B169">
            <v>319.99362300000001</v>
          </cell>
          <cell r="C169">
            <v>262.07</v>
          </cell>
        </row>
        <row r="170">
          <cell r="B170">
            <v>320.00056699999999</v>
          </cell>
          <cell r="C170">
            <v>263.64999999999998</v>
          </cell>
        </row>
        <row r="171">
          <cell r="B171">
            <v>320.00751200000002</v>
          </cell>
          <cell r="C171">
            <v>264.77999999999997</v>
          </cell>
        </row>
        <row r="172">
          <cell r="B172">
            <v>320.014456</v>
          </cell>
          <cell r="C172">
            <v>266.10000000000002</v>
          </cell>
        </row>
        <row r="173">
          <cell r="B173">
            <v>320.02140000000003</v>
          </cell>
          <cell r="C173">
            <v>267.95</v>
          </cell>
        </row>
        <row r="174">
          <cell r="B174">
            <v>320.028345</v>
          </cell>
          <cell r="C174">
            <v>266.19</v>
          </cell>
        </row>
        <row r="175">
          <cell r="B175">
            <v>320.03528899999998</v>
          </cell>
          <cell r="C175">
            <v>269.02999999999997</v>
          </cell>
        </row>
        <row r="176">
          <cell r="B176">
            <v>320.04223400000001</v>
          </cell>
          <cell r="C176">
            <v>268.56</v>
          </cell>
        </row>
        <row r="177">
          <cell r="B177">
            <v>320.04917799999998</v>
          </cell>
          <cell r="C177">
            <v>269.57</v>
          </cell>
        </row>
        <row r="178">
          <cell r="B178">
            <v>320.05612300000001</v>
          </cell>
          <cell r="C178">
            <v>269.95</v>
          </cell>
        </row>
        <row r="179">
          <cell r="B179">
            <v>320.06306699999999</v>
          </cell>
          <cell r="C179">
            <v>270.5</v>
          </cell>
        </row>
        <row r="180">
          <cell r="B180">
            <v>320.07001200000002</v>
          </cell>
          <cell r="C180">
            <v>268.47000000000003</v>
          </cell>
        </row>
        <row r="181">
          <cell r="B181">
            <v>320.076956</v>
          </cell>
          <cell r="C181">
            <v>266.69</v>
          </cell>
        </row>
        <row r="182">
          <cell r="B182">
            <v>320.08390000000003</v>
          </cell>
          <cell r="C182">
            <v>267.91000000000003</v>
          </cell>
        </row>
        <row r="183">
          <cell r="B183">
            <v>320.090845</v>
          </cell>
          <cell r="C183">
            <v>268.39</v>
          </cell>
        </row>
        <row r="184">
          <cell r="B184">
            <v>320.09778899999998</v>
          </cell>
          <cell r="C184">
            <v>264.88</v>
          </cell>
        </row>
        <row r="185">
          <cell r="B185">
            <v>320.10473400000001</v>
          </cell>
          <cell r="C185">
            <v>257.61</v>
          </cell>
        </row>
        <row r="186">
          <cell r="B186">
            <v>320.11169000000001</v>
          </cell>
          <cell r="C186">
            <v>257.39</v>
          </cell>
        </row>
        <row r="187">
          <cell r="B187">
            <v>320.11863399999999</v>
          </cell>
          <cell r="C187">
            <v>253.02</v>
          </cell>
        </row>
        <row r="188">
          <cell r="B188">
            <v>320.12557900000002</v>
          </cell>
          <cell r="C188">
            <v>249.26</v>
          </cell>
        </row>
        <row r="189">
          <cell r="B189">
            <v>320.13252299999999</v>
          </cell>
          <cell r="C189">
            <v>244.12</v>
          </cell>
        </row>
        <row r="190">
          <cell r="B190">
            <v>320.13946800000002</v>
          </cell>
          <cell r="C190">
            <v>241.25</v>
          </cell>
        </row>
        <row r="191">
          <cell r="B191">
            <v>320.146412</v>
          </cell>
          <cell r="C191">
            <v>238.66</v>
          </cell>
        </row>
        <row r="192">
          <cell r="B192">
            <v>320.15335599999997</v>
          </cell>
          <cell r="C192">
            <v>235.87</v>
          </cell>
        </row>
        <row r="193">
          <cell r="B193">
            <v>320.160301</v>
          </cell>
          <cell r="C193">
            <v>233.49</v>
          </cell>
        </row>
        <row r="194">
          <cell r="B194">
            <v>320.16724499999998</v>
          </cell>
          <cell r="C194">
            <v>229.34</v>
          </cell>
        </row>
        <row r="195">
          <cell r="B195">
            <v>320.17419000000001</v>
          </cell>
          <cell r="C195">
            <v>226.3</v>
          </cell>
        </row>
        <row r="196">
          <cell r="B196">
            <v>320.18112300000001</v>
          </cell>
          <cell r="C196">
            <v>223.89</v>
          </cell>
        </row>
        <row r="197">
          <cell r="B197">
            <v>320.18806699999999</v>
          </cell>
          <cell r="C197">
            <v>220.25</v>
          </cell>
        </row>
        <row r="198">
          <cell r="B198">
            <v>320.19501200000002</v>
          </cell>
          <cell r="C198">
            <v>219.34</v>
          </cell>
        </row>
        <row r="199">
          <cell r="B199">
            <v>320.201956</v>
          </cell>
          <cell r="C199">
            <v>205.53</v>
          </cell>
        </row>
        <row r="200">
          <cell r="B200">
            <v>320.20890000000003</v>
          </cell>
          <cell r="C200">
            <v>209.76</v>
          </cell>
        </row>
        <row r="201">
          <cell r="B201">
            <v>320.215845</v>
          </cell>
          <cell r="C201">
            <v>210.48</v>
          </cell>
        </row>
        <row r="202">
          <cell r="B202">
            <v>320.22278899999998</v>
          </cell>
          <cell r="C202">
            <v>204.74</v>
          </cell>
        </row>
        <row r="203">
          <cell r="B203">
            <v>320.22973400000001</v>
          </cell>
          <cell r="C203">
            <v>204.38</v>
          </cell>
        </row>
        <row r="204">
          <cell r="B204">
            <v>320.23667799999998</v>
          </cell>
          <cell r="C204">
            <v>200.43</v>
          </cell>
        </row>
        <row r="205">
          <cell r="B205">
            <v>320.24362300000001</v>
          </cell>
          <cell r="C205">
            <v>196.28</v>
          </cell>
        </row>
        <row r="206">
          <cell r="B206">
            <v>320.25056699999999</v>
          </cell>
          <cell r="C206">
            <v>191.71</v>
          </cell>
        </row>
        <row r="207">
          <cell r="B207">
            <v>320.25751200000002</v>
          </cell>
          <cell r="C207">
            <v>187.06</v>
          </cell>
        </row>
        <row r="208">
          <cell r="B208">
            <v>320.264456</v>
          </cell>
          <cell r="C208">
            <v>182.57</v>
          </cell>
        </row>
        <row r="209">
          <cell r="B209">
            <v>320.27140000000003</v>
          </cell>
          <cell r="C209">
            <v>178.96</v>
          </cell>
        </row>
        <row r="210">
          <cell r="B210">
            <v>320.278345</v>
          </cell>
          <cell r="C210">
            <v>176.99</v>
          </cell>
        </row>
        <row r="211">
          <cell r="B211">
            <v>320.28528899999998</v>
          </cell>
          <cell r="C211">
            <v>175.58</v>
          </cell>
        </row>
        <row r="212">
          <cell r="B212">
            <v>320.29223400000001</v>
          </cell>
          <cell r="C212">
            <v>173.87</v>
          </cell>
        </row>
        <row r="213">
          <cell r="B213">
            <v>320.29917799999998</v>
          </cell>
          <cell r="C213">
            <v>173.4</v>
          </cell>
        </row>
        <row r="214">
          <cell r="B214">
            <v>320.30612300000001</v>
          </cell>
          <cell r="C214">
            <v>171.77</v>
          </cell>
        </row>
        <row r="215">
          <cell r="B215">
            <v>320.31306699999999</v>
          </cell>
          <cell r="C215">
            <v>169.49</v>
          </cell>
        </row>
        <row r="216">
          <cell r="B216">
            <v>320.32001200000002</v>
          </cell>
          <cell r="C216">
            <v>167.33</v>
          </cell>
        </row>
        <row r="217">
          <cell r="B217">
            <v>320.326956</v>
          </cell>
          <cell r="C217">
            <v>167.78</v>
          </cell>
        </row>
        <row r="218">
          <cell r="B218">
            <v>320.33390000000003</v>
          </cell>
          <cell r="C218">
            <v>167.48</v>
          </cell>
        </row>
        <row r="219">
          <cell r="B219">
            <v>320.340845</v>
          </cell>
          <cell r="C219">
            <v>169.55</v>
          </cell>
        </row>
        <row r="220">
          <cell r="B220">
            <v>320.34778899999998</v>
          </cell>
          <cell r="C220">
            <v>168.93</v>
          </cell>
        </row>
        <row r="221">
          <cell r="B221">
            <v>320.35473400000001</v>
          </cell>
          <cell r="C221">
            <v>169.77</v>
          </cell>
        </row>
        <row r="222">
          <cell r="B222">
            <v>320.36167799999998</v>
          </cell>
          <cell r="C222">
            <v>172.13</v>
          </cell>
        </row>
        <row r="223">
          <cell r="B223">
            <v>320.36863399999999</v>
          </cell>
          <cell r="C223">
            <v>175.93</v>
          </cell>
        </row>
        <row r="224">
          <cell r="B224">
            <v>320.37557900000002</v>
          </cell>
          <cell r="C224">
            <v>176.28</v>
          </cell>
        </row>
        <row r="225">
          <cell r="B225">
            <v>320.38252299999999</v>
          </cell>
          <cell r="C225">
            <v>174.76</v>
          </cell>
        </row>
        <row r="226">
          <cell r="B226">
            <v>320.38946800000002</v>
          </cell>
          <cell r="C226">
            <v>174.52</v>
          </cell>
        </row>
        <row r="227">
          <cell r="B227">
            <v>320.396412</v>
          </cell>
          <cell r="C227">
            <v>173.94</v>
          </cell>
        </row>
        <row r="228">
          <cell r="B228">
            <v>320.40335599999997</v>
          </cell>
          <cell r="C228">
            <v>172.75</v>
          </cell>
        </row>
        <row r="229">
          <cell r="B229">
            <v>320.410301</v>
          </cell>
          <cell r="C229">
            <v>171.37</v>
          </cell>
        </row>
        <row r="230">
          <cell r="B230">
            <v>320.41724499999998</v>
          </cell>
          <cell r="C230">
            <v>171.06</v>
          </cell>
        </row>
        <row r="231">
          <cell r="B231">
            <v>320.42419000000001</v>
          </cell>
          <cell r="C231">
            <v>173.17</v>
          </cell>
        </row>
        <row r="232">
          <cell r="B232">
            <v>320.43113399999999</v>
          </cell>
          <cell r="C232">
            <v>172.21</v>
          </cell>
        </row>
        <row r="233">
          <cell r="B233">
            <v>320.43806699999999</v>
          </cell>
          <cell r="C233">
            <v>170.27</v>
          </cell>
        </row>
        <row r="234">
          <cell r="B234">
            <v>320.44501200000002</v>
          </cell>
          <cell r="C234">
            <v>169.14</v>
          </cell>
        </row>
        <row r="235">
          <cell r="B235">
            <v>320.451956</v>
          </cell>
          <cell r="C235">
            <v>168.51</v>
          </cell>
        </row>
        <row r="236">
          <cell r="B236">
            <v>320.45890000000003</v>
          </cell>
          <cell r="C236">
            <v>168.78</v>
          </cell>
        </row>
        <row r="237">
          <cell r="B237">
            <v>320.465845</v>
          </cell>
          <cell r="C237">
            <v>168.18</v>
          </cell>
        </row>
        <row r="238">
          <cell r="B238">
            <v>320.47278899999998</v>
          </cell>
          <cell r="C238">
            <v>171.14</v>
          </cell>
        </row>
        <row r="239">
          <cell r="B239">
            <v>320.47973400000001</v>
          </cell>
          <cell r="C239">
            <v>170.8</v>
          </cell>
        </row>
        <row r="240">
          <cell r="B240">
            <v>320.48667799999998</v>
          </cell>
          <cell r="C240">
            <v>169.63</v>
          </cell>
        </row>
        <row r="241">
          <cell r="B241">
            <v>320.49362300000001</v>
          </cell>
          <cell r="C241">
            <v>170.39</v>
          </cell>
        </row>
        <row r="242">
          <cell r="B242">
            <v>320.50056699999999</v>
          </cell>
          <cell r="C242">
            <v>169.18</v>
          </cell>
        </row>
        <row r="243">
          <cell r="B243">
            <v>320.50751200000002</v>
          </cell>
          <cell r="C243">
            <v>169.2</v>
          </cell>
        </row>
        <row r="244">
          <cell r="B244">
            <v>320.514456</v>
          </cell>
          <cell r="C244">
            <v>169.32</v>
          </cell>
        </row>
        <row r="245">
          <cell r="B245">
            <v>320.52140000000003</v>
          </cell>
          <cell r="C245">
            <v>169.57</v>
          </cell>
        </row>
        <row r="246">
          <cell r="B246">
            <v>320.528345</v>
          </cell>
          <cell r="C246">
            <v>168.3</v>
          </cell>
        </row>
        <row r="247">
          <cell r="B247">
            <v>320.53528899999998</v>
          </cell>
          <cell r="C247">
            <v>164.7</v>
          </cell>
        </row>
        <row r="248">
          <cell r="B248">
            <v>320.54223400000001</v>
          </cell>
          <cell r="C248">
            <v>163.01</v>
          </cell>
        </row>
        <row r="249">
          <cell r="B249">
            <v>320.54917799999998</v>
          </cell>
          <cell r="C249">
            <v>161.87</v>
          </cell>
        </row>
        <row r="250">
          <cell r="B250">
            <v>320.55612300000001</v>
          </cell>
          <cell r="C250">
            <v>161.41999999999999</v>
          </cell>
        </row>
        <row r="251">
          <cell r="B251">
            <v>320.56306699999999</v>
          </cell>
          <cell r="C251">
            <v>160.59</v>
          </cell>
        </row>
        <row r="252">
          <cell r="B252">
            <v>320.57001200000002</v>
          </cell>
          <cell r="C252">
            <v>160.56</v>
          </cell>
        </row>
        <row r="253">
          <cell r="B253">
            <v>320.576956</v>
          </cell>
          <cell r="C253">
            <v>161.13</v>
          </cell>
        </row>
        <row r="254">
          <cell r="B254">
            <v>320.58390000000003</v>
          </cell>
          <cell r="C254">
            <v>162.51</v>
          </cell>
        </row>
        <row r="255">
          <cell r="B255">
            <v>320.590845</v>
          </cell>
          <cell r="C255">
            <v>164.07</v>
          </cell>
        </row>
        <row r="256">
          <cell r="B256">
            <v>320.59778899999998</v>
          </cell>
          <cell r="C256">
            <v>166.36</v>
          </cell>
        </row>
        <row r="257">
          <cell r="B257">
            <v>320.60473400000001</v>
          </cell>
          <cell r="C257">
            <v>168.19</v>
          </cell>
        </row>
        <row r="258">
          <cell r="B258">
            <v>320.61167799999998</v>
          </cell>
          <cell r="C258">
            <v>168.55</v>
          </cell>
        </row>
        <row r="259">
          <cell r="B259">
            <v>320.61862300000001</v>
          </cell>
          <cell r="C259">
            <v>167.77</v>
          </cell>
        </row>
        <row r="260">
          <cell r="B260">
            <v>320.62557900000002</v>
          </cell>
          <cell r="C260">
            <v>167.97</v>
          </cell>
        </row>
        <row r="261">
          <cell r="B261">
            <v>320.63252299999999</v>
          </cell>
          <cell r="C261">
            <v>167.53</v>
          </cell>
        </row>
        <row r="262">
          <cell r="B262">
            <v>320.63946800000002</v>
          </cell>
          <cell r="C262">
            <v>170.9</v>
          </cell>
        </row>
        <row r="263">
          <cell r="B263">
            <v>320.646412</v>
          </cell>
          <cell r="C263">
            <v>173.07</v>
          </cell>
        </row>
        <row r="264">
          <cell r="B264">
            <v>320.65335599999997</v>
          </cell>
          <cell r="C264">
            <v>173.85</v>
          </cell>
        </row>
        <row r="265">
          <cell r="B265">
            <v>320.660301</v>
          </cell>
          <cell r="C265">
            <v>175.91</v>
          </cell>
        </row>
        <row r="266">
          <cell r="B266">
            <v>320.66724499999998</v>
          </cell>
          <cell r="C266">
            <v>177.97</v>
          </cell>
        </row>
        <row r="267">
          <cell r="B267">
            <v>320.67419000000001</v>
          </cell>
          <cell r="C267">
            <v>177.7</v>
          </cell>
        </row>
        <row r="268">
          <cell r="B268">
            <v>320.68113399999999</v>
          </cell>
          <cell r="C268">
            <v>179.08</v>
          </cell>
        </row>
        <row r="269">
          <cell r="B269">
            <v>320.68807900000002</v>
          </cell>
          <cell r="C269">
            <v>180.52</v>
          </cell>
        </row>
        <row r="270">
          <cell r="B270">
            <v>320.69501200000002</v>
          </cell>
          <cell r="C270">
            <v>181.84</v>
          </cell>
        </row>
        <row r="271">
          <cell r="B271">
            <v>320.701956</v>
          </cell>
          <cell r="C271">
            <v>182.24</v>
          </cell>
        </row>
        <row r="272">
          <cell r="B272">
            <v>320.70890000000003</v>
          </cell>
          <cell r="C272">
            <v>184.17</v>
          </cell>
        </row>
        <row r="273">
          <cell r="B273">
            <v>320.715845</v>
          </cell>
          <cell r="C273">
            <v>185.64</v>
          </cell>
        </row>
        <row r="274">
          <cell r="B274">
            <v>320.72278899999998</v>
          </cell>
          <cell r="C274">
            <v>187.12</v>
          </cell>
        </row>
        <row r="275">
          <cell r="B275">
            <v>320.72973400000001</v>
          </cell>
          <cell r="C275">
            <v>190.11</v>
          </cell>
        </row>
        <row r="276">
          <cell r="B276">
            <v>320.73667799999998</v>
          </cell>
          <cell r="C276">
            <v>192.27</v>
          </cell>
        </row>
        <row r="277">
          <cell r="B277">
            <v>320.74362300000001</v>
          </cell>
          <cell r="C277">
            <v>194.47</v>
          </cell>
        </row>
        <row r="278">
          <cell r="B278">
            <v>320.75056699999999</v>
          </cell>
          <cell r="C278">
            <v>197.15</v>
          </cell>
        </row>
        <row r="279">
          <cell r="B279">
            <v>320.75751200000002</v>
          </cell>
          <cell r="C279">
            <v>200.45</v>
          </cell>
        </row>
        <row r="280">
          <cell r="B280">
            <v>320.764456</v>
          </cell>
          <cell r="C280">
            <v>206.22</v>
          </cell>
        </row>
        <row r="281">
          <cell r="B281">
            <v>320.77140000000003</v>
          </cell>
          <cell r="C281">
            <v>209.98</v>
          </cell>
        </row>
        <row r="282">
          <cell r="B282">
            <v>320.778345</v>
          </cell>
          <cell r="C282">
            <v>212.1</v>
          </cell>
        </row>
        <row r="283">
          <cell r="B283">
            <v>320.78528899999998</v>
          </cell>
          <cell r="C283">
            <v>215.31</v>
          </cell>
        </row>
        <row r="284">
          <cell r="B284">
            <v>320.79223400000001</v>
          </cell>
          <cell r="C284">
            <v>220.27</v>
          </cell>
        </row>
        <row r="285">
          <cell r="B285">
            <v>320.79917799999998</v>
          </cell>
          <cell r="C285">
            <v>223.57</v>
          </cell>
        </row>
        <row r="286">
          <cell r="B286">
            <v>320.80612300000001</v>
          </cell>
          <cell r="C286">
            <v>227.1</v>
          </cell>
        </row>
        <row r="287">
          <cell r="B287">
            <v>320.81306699999999</v>
          </cell>
          <cell r="C287">
            <v>230.75</v>
          </cell>
        </row>
        <row r="288">
          <cell r="B288">
            <v>320.82001200000002</v>
          </cell>
          <cell r="C288">
            <v>233.32</v>
          </cell>
        </row>
        <row r="289">
          <cell r="B289">
            <v>320.826956</v>
          </cell>
          <cell r="C289">
            <v>236.05</v>
          </cell>
        </row>
        <row r="290">
          <cell r="B290">
            <v>320.83390000000003</v>
          </cell>
          <cell r="C290">
            <v>240.91</v>
          </cell>
        </row>
        <row r="291">
          <cell r="B291">
            <v>320.840845</v>
          </cell>
          <cell r="C291">
            <v>242.04</v>
          </cell>
        </row>
        <row r="292">
          <cell r="B292">
            <v>320.84778899999998</v>
          </cell>
          <cell r="C292">
            <v>244.1</v>
          </cell>
        </row>
        <row r="293">
          <cell r="B293">
            <v>320.85473400000001</v>
          </cell>
          <cell r="C293">
            <v>244.14</v>
          </cell>
        </row>
        <row r="294">
          <cell r="B294">
            <v>320.86167799999998</v>
          </cell>
          <cell r="C294">
            <v>245.3</v>
          </cell>
        </row>
        <row r="295">
          <cell r="B295">
            <v>320.86862300000001</v>
          </cell>
          <cell r="C295">
            <v>247.32</v>
          </cell>
        </row>
        <row r="296">
          <cell r="B296">
            <v>320.87556699999999</v>
          </cell>
          <cell r="C296">
            <v>246.66</v>
          </cell>
        </row>
        <row r="297">
          <cell r="B297">
            <v>320.88252299999999</v>
          </cell>
          <cell r="C297">
            <v>242.86</v>
          </cell>
        </row>
        <row r="298">
          <cell r="B298">
            <v>320.88946800000002</v>
          </cell>
          <cell r="C298">
            <v>243.4</v>
          </cell>
        </row>
      </sheetData>
      <sheetData sheetId="1">
        <row r="2">
          <cell r="B2">
            <v>318.83334500000001</v>
          </cell>
          <cell r="C2">
            <v>78.8</v>
          </cell>
        </row>
        <row r="3">
          <cell r="B3">
            <v>318.840845</v>
          </cell>
          <cell r="C3">
            <v>128.74</v>
          </cell>
        </row>
        <row r="4">
          <cell r="B4">
            <v>318.84723400000001</v>
          </cell>
          <cell r="C4">
            <v>196.98</v>
          </cell>
        </row>
        <row r="5">
          <cell r="B5">
            <v>318.85416700000002</v>
          </cell>
          <cell r="C5">
            <v>209.77</v>
          </cell>
        </row>
        <row r="6">
          <cell r="B6">
            <v>318.86111099999999</v>
          </cell>
          <cell r="C6">
            <v>214.56</v>
          </cell>
        </row>
        <row r="7">
          <cell r="B7">
            <v>318.86805600000002</v>
          </cell>
          <cell r="C7">
            <v>229.75</v>
          </cell>
        </row>
        <row r="8">
          <cell r="B8">
            <v>318.87556699999999</v>
          </cell>
          <cell r="C8">
            <v>242.05</v>
          </cell>
        </row>
        <row r="9">
          <cell r="B9">
            <v>318.88251200000002</v>
          </cell>
          <cell r="C9">
            <v>241.29</v>
          </cell>
        </row>
        <row r="10">
          <cell r="B10">
            <v>318.889456</v>
          </cell>
          <cell r="C10">
            <v>246.64</v>
          </cell>
        </row>
        <row r="11">
          <cell r="B11">
            <v>318.89640000000003</v>
          </cell>
          <cell r="C11">
            <v>248.56</v>
          </cell>
        </row>
        <row r="12">
          <cell r="B12">
            <v>318.903345</v>
          </cell>
          <cell r="C12">
            <v>252.53</v>
          </cell>
        </row>
        <row r="13">
          <cell r="B13">
            <v>318.91028899999998</v>
          </cell>
          <cell r="C13">
            <v>262.94</v>
          </cell>
        </row>
        <row r="14">
          <cell r="B14">
            <v>318.91724499999998</v>
          </cell>
          <cell r="C14">
            <v>268.41000000000003</v>
          </cell>
        </row>
        <row r="15">
          <cell r="B15">
            <v>318.92419000000001</v>
          </cell>
          <cell r="C15">
            <v>272.72000000000003</v>
          </cell>
        </row>
        <row r="16">
          <cell r="B16">
            <v>318.93113399999999</v>
          </cell>
          <cell r="C16">
            <v>276.43</v>
          </cell>
        </row>
        <row r="17">
          <cell r="B17">
            <v>318.93807900000002</v>
          </cell>
          <cell r="C17">
            <v>277.58</v>
          </cell>
        </row>
        <row r="18">
          <cell r="B18">
            <v>318.94502299999999</v>
          </cell>
          <cell r="C18">
            <v>278.48</v>
          </cell>
        </row>
        <row r="19">
          <cell r="B19">
            <v>318.95196800000002</v>
          </cell>
          <cell r="C19">
            <v>279.93</v>
          </cell>
        </row>
        <row r="20">
          <cell r="B20">
            <v>318.958912</v>
          </cell>
          <cell r="C20">
            <v>283.86</v>
          </cell>
        </row>
        <row r="21">
          <cell r="B21">
            <v>318.96585599999997</v>
          </cell>
          <cell r="C21">
            <v>285.18</v>
          </cell>
        </row>
        <row r="22">
          <cell r="B22">
            <v>318.972801</v>
          </cell>
          <cell r="C22">
            <v>287.02999999999997</v>
          </cell>
        </row>
        <row r="23">
          <cell r="B23">
            <v>318.97974499999998</v>
          </cell>
          <cell r="C23">
            <v>287.07</v>
          </cell>
        </row>
        <row r="24">
          <cell r="B24">
            <v>318.98667799999998</v>
          </cell>
          <cell r="C24">
            <v>288.61</v>
          </cell>
        </row>
        <row r="25">
          <cell r="B25">
            <v>318.99362300000001</v>
          </cell>
          <cell r="C25">
            <v>291.74</v>
          </cell>
        </row>
        <row r="26">
          <cell r="B26">
            <v>319.00056699999999</v>
          </cell>
          <cell r="C26">
            <v>291.33</v>
          </cell>
        </row>
        <row r="27">
          <cell r="B27">
            <v>319.00751200000002</v>
          </cell>
          <cell r="C27">
            <v>291.36</v>
          </cell>
        </row>
        <row r="28">
          <cell r="B28">
            <v>319.014456</v>
          </cell>
          <cell r="C28">
            <v>294.16000000000003</v>
          </cell>
        </row>
        <row r="29">
          <cell r="B29">
            <v>319.02140000000003</v>
          </cell>
          <cell r="C29">
            <v>292.83</v>
          </cell>
        </row>
        <row r="30">
          <cell r="B30">
            <v>319.028345</v>
          </cell>
          <cell r="C30">
            <v>291.61</v>
          </cell>
        </row>
        <row r="31">
          <cell r="B31">
            <v>319.03528899999998</v>
          </cell>
          <cell r="C31">
            <v>292.14</v>
          </cell>
        </row>
        <row r="32">
          <cell r="B32">
            <v>319.04223400000001</v>
          </cell>
          <cell r="C32">
            <v>295.11</v>
          </cell>
        </row>
        <row r="33">
          <cell r="B33">
            <v>319.04917799999998</v>
          </cell>
          <cell r="C33">
            <v>296.93</v>
          </cell>
        </row>
        <row r="34">
          <cell r="B34">
            <v>319.05612300000001</v>
          </cell>
          <cell r="C34">
            <v>304.49</v>
          </cell>
        </row>
        <row r="35">
          <cell r="B35">
            <v>319.06306699999999</v>
          </cell>
          <cell r="C35">
            <v>305.27</v>
          </cell>
        </row>
        <row r="36">
          <cell r="B36">
            <v>319.07001200000002</v>
          </cell>
          <cell r="C36">
            <v>307.93</v>
          </cell>
        </row>
        <row r="37">
          <cell r="B37">
            <v>319.076956</v>
          </cell>
          <cell r="C37">
            <v>307.02999999999997</v>
          </cell>
        </row>
        <row r="38">
          <cell r="B38">
            <v>319.08390000000003</v>
          </cell>
          <cell r="C38">
            <v>305.67</v>
          </cell>
        </row>
        <row r="39">
          <cell r="B39">
            <v>319.090845</v>
          </cell>
          <cell r="C39">
            <v>303.49</v>
          </cell>
        </row>
        <row r="40">
          <cell r="B40">
            <v>319.09778899999998</v>
          </cell>
          <cell r="C40">
            <v>298.14999999999998</v>
          </cell>
        </row>
        <row r="41">
          <cell r="B41">
            <v>319.10473400000001</v>
          </cell>
          <cell r="C41">
            <v>300.02999999999997</v>
          </cell>
        </row>
        <row r="42">
          <cell r="B42">
            <v>319.11167799999998</v>
          </cell>
          <cell r="C42">
            <v>299.35000000000002</v>
          </cell>
        </row>
        <row r="43">
          <cell r="B43">
            <v>319.11862300000001</v>
          </cell>
          <cell r="C43">
            <v>293.58999999999997</v>
          </cell>
        </row>
        <row r="44">
          <cell r="B44">
            <v>319.12556699999999</v>
          </cell>
          <cell r="C44">
            <v>286.86</v>
          </cell>
        </row>
        <row r="45">
          <cell r="B45">
            <v>319.13251200000002</v>
          </cell>
          <cell r="C45">
            <v>279.43</v>
          </cell>
        </row>
        <row r="46">
          <cell r="B46">
            <v>319.139456</v>
          </cell>
          <cell r="C46">
            <v>271.89999999999998</v>
          </cell>
        </row>
        <row r="47">
          <cell r="B47">
            <v>319.14640000000003</v>
          </cell>
          <cell r="C47">
            <v>264.92</v>
          </cell>
        </row>
        <row r="48">
          <cell r="B48">
            <v>319.153345</v>
          </cell>
          <cell r="C48">
            <v>259.13</v>
          </cell>
        </row>
        <row r="49">
          <cell r="B49">
            <v>319.16028899999998</v>
          </cell>
          <cell r="C49">
            <v>254.44</v>
          </cell>
        </row>
        <row r="50">
          <cell r="B50">
            <v>319.16724499999998</v>
          </cell>
          <cell r="C50">
            <v>251.22</v>
          </cell>
        </row>
        <row r="51">
          <cell r="B51">
            <v>319.17419000000001</v>
          </cell>
          <cell r="C51">
            <v>243.54</v>
          </cell>
        </row>
        <row r="52">
          <cell r="B52">
            <v>319.18113399999999</v>
          </cell>
          <cell r="C52">
            <v>233.79</v>
          </cell>
        </row>
        <row r="53">
          <cell r="B53">
            <v>319.18807900000002</v>
          </cell>
          <cell r="C53">
            <v>226.83</v>
          </cell>
        </row>
        <row r="54">
          <cell r="B54">
            <v>319.19502299999999</v>
          </cell>
          <cell r="C54">
            <v>225.55</v>
          </cell>
        </row>
        <row r="55">
          <cell r="B55">
            <v>319.20196800000002</v>
          </cell>
          <cell r="C55">
            <v>220.7</v>
          </cell>
        </row>
        <row r="56">
          <cell r="B56">
            <v>319.208912</v>
          </cell>
          <cell r="C56">
            <v>216.4</v>
          </cell>
        </row>
        <row r="57">
          <cell r="B57">
            <v>319.21585599999997</v>
          </cell>
          <cell r="C57">
            <v>212.05</v>
          </cell>
        </row>
        <row r="58">
          <cell r="B58">
            <v>319.222801</v>
          </cell>
          <cell r="C58">
            <v>209.85</v>
          </cell>
        </row>
        <row r="59">
          <cell r="B59">
            <v>319.22974499999998</v>
          </cell>
          <cell r="C59">
            <v>204.12</v>
          </cell>
        </row>
        <row r="60">
          <cell r="B60">
            <v>319.23667799999998</v>
          </cell>
          <cell r="C60">
            <v>198.05</v>
          </cell>
        </row>
        <row r="61">
          <cell r="B61">
            <v>319.24362300000001</v>
          </cell>
          <cell r="C61">
            <v>193.87</v>
          </cell>
        </row>
        <row r="62">
          <cell r="B62">
            <v>319.25056699999999</v>
          </cell>
          <cell r="C62">
            <v>194.04</v>
          </cell>
        </row>
        <row r="63">
          <cell r="B63">
            <v>319.25751200000002</v>
          </cell>
          <cell r="C63">
            <v>189.64</v>
          </cell>
        </row>
        <row r="64">
          <cell r="B64">
            <v>319.264456</v>
          </cell>
          <cell r="C64">
            <v>184.11</v>
          </cell>
        </row>
        <row r="65">
          <cell r="B65">
            <v>319.27140000000003</v>
          </cell>
          <cell r="C65">
            <v>183.52</v>
          </cell>
        </row>
        <row r="66">
          <cell r="B66">
            <v>319.278345</v>
          </cell>
          <cell r="C66">
            <v>180.46</v>
          </cell>
        </row>
        <row r="67">
          <cell r="B67">
            <v>319.28528899999998</v>
          </cell>
          <cell r="C67">
            <v>175.72</v>
          </cell>
        </row>
        <row r="68">
          <cell r="B68">
            <v>319.29223400000001</v>
          </cell>
          <cell r="C68">
            <v>170.93</v>
          </cell>
        </row>
        <row r="69">
          <cell r="B69">
            <v>319.29917799999998</v>
          </cell>
          <cell r="C69">
            <v>167.89</v>
          </cell>
        </row>
        <row r="70">
          <cell r="B70">
            <v>319.30612300000001</v>
          </cell>
          <cell r="C70">
            <v>164.78</v>
          </cell>
        </row>
        <row r="71">
          <cell r="B71">
            <v>319.31306699999999</v>
          </cell>
          <cell r="C71">
            <v>164.22</v>
          </cell>
        </row>
        <row r="72">
          <cell r="B72">
            <v>319.32001200000002</v>
          </cell>
          <cell r="C72">
            <v>162.56</v>
          </cell>
        </row>
        <row r="73">
          <cell r="B73">
            <v>319.326956</v>
          </cell>
          <cell r="C73">
            <v>161.63</v>
          </cell>
        </row>
        <row r="74">
          <cell r="B74">
            <v>319.33390000000003</v>
          </cell>
          <cell r="C74">
            <v>160.44</v>
          </cell>
        </row>
        <row r="75">
          <cell r="B75">
            <v>319.340845</v>
          </cell>
          <cell r="C75">
            <v>158.93</v>
          </cell>
        </row>
        <row r="76">
          <cell r="B76">
            <v>319.34778899999998</v>
          </cell>
          <cell r="C76">
            <v>158.26</v>
          </cell>
        </row>
        <row r="77">
          <cell r="B77">
            <v>319.35473400000001</v>
          </cell>
          <cell r="C77">
            <v>157.77000000000001</v>
          </cell>
        </row>
        <row r="78">
          <cell r="B78">
            <v>319.36167799999998</v>
          </cell>
          <cell r="C78">
            <v>156.69999999999999</v>
          </cell>
        </row>
        <row r="79">
          <cell r="B79">
            <v>319.36862300000001</v>
          </cell>
          <cell r="C79">
            <v>155.96</v>
          </cell>
        </row>
        <row r="80">
          <cell r="B80">
            <v>319.37556699999999</v>
          </cell>
          <cell r="C80">
            <v>154.83000000000001</v>
          </cell>
        </row>
        <row r="81">
          <cell r="B81">
            <v>319.38251200000002</v>
          </cell>
          <cell r="C81">
            <v>154.29</v>
          </cell>
        </row>
        <row r="82">
          <cell r="B82">
            <v>319.389456</v>
          </cell>
          <cell r="C82">
            <v>153.32</v>
          </cell>
        </row>
        <row r="83">
          <cell r="B83">
            <v>319.39640000000003</v>
          </cell>
          <cell r="C83">
            <v>154.18</v>
          </cell>
        </row>
        <row r="84">
          <cell r="B84">
            <v>319.403345</v>
          </cell>
          <cell r="C84">
            <v>154.24</v>
          </cell>
        </row>
        <row r="85">
          <cell r="B85">
            <v>319.41028899999998</v>
          </cell>
          <cell r="C85">
            <v>160.1</v>
          </cell>
        </row>
        <row r="86">
          <cell r="B86">
            <v>319.41723400000001</v>
          </cell>
          <cell r="C86">
            <v>164.24</v>
          </cell>
        </row>
        <row r="87">
          <cell r="B87">
            <v>319.42419000000001</v>
          </cell>
          <cell r="C87">
            <v>164.52</v>
          </cell>
        </row>
        <row r="88">
          <cell r="B88">
            <v>319.43113399999999</v>
          </cell>
          <cell r="C88">
            <v>163.59</v>
          </cell>
        </row>
        <row r="89">
          <cell r="B89">
            <v>319.43807900000002</v>
          </cell>
          <cell r="C89">
            <v>164.44</v>
          </cell>
        </row>
        <row r="90">
          <cell r="B90">
            <v>319.44502299999999</v>
          </cell>
          <cell r="C90">
            <v>163.59</v>
          </cell>
        </row>
        <row r="91">
          <cell r="B91">
            <v>319.45196800000002</v>
          </cell>
          <cell r="C91">
            <v>162.31</v>
          </cell>
        </row>
        <row r="92">
          <cell r="B92">
            <v>319.458912</v>
          </cell>
          <cell r="C92">
            <v>161.35</v>
          </cell>
        </row>
        <row r="93">
          <cell r="B93">
            <v>319.46585599999997</v>
          </cell>
          <cell r="C93">
            <v>161.29</v>
          </cell>
        </row>
        <row r="94">
          <cell r="B94">
            <v>319.472801</v>
          </cell>
          <cell r="C94">
            <v>161.58000000000001</v>
          </cell>
        </row>
        <row r="95">
          <cell r="B95">
            <v>319.47974499999998</v>
          </cell>
          <cell r="C95">
            <v>162.65</v>
          </cell>
        </row>
        <row r="96">
          <cell r="B96">
            <v>319.48669000000001</v>
          </cell>
          <cell r="C96">
            <v>161.04</v>
          </cell>
        </row>
        <row r="97">
          <cell r="B97">
            <v>319.49362300000001</v>
          </cell>
          <cell r="C97">
            <v>160.71</v>
          </cell>
        </row>
        <row r="98">
          <cell r="B98">
            <v>319.50056699999999</v>
          </cell>
          <cell r="C98">
            <v>161.06</v>
          </cell>
        </row>
        <row r="99">
          <cell r="B99">
            <v>319.50751200000002</v>
          </cell>
          <cell r="C99">
            <v>159.72999999999999</v>
          </cell>
        </row>
        <row r="100">
          <cell r="B100">
            <v>319.514456</v>
          </cell>
          <cell r="C100">
            <v>159.22999999999999</v>
          </cell>
        </row>
        <row r="101">
          <cell r="B101">
            <v>319.52140000000003</v>
          </cell>
          <cell r="C101">
            <v>160</v>
          </cell>
        </row>
        <row r="102">
          <cell r="B102">
            <v>319.528345</v>
          </cell>
          <cell r="C102">
            <v>160.13999999999999</v>
          </cell>
        </row>
        <row r="103">
          <cell r="B103">
            <v>319.53528899999998</v>
          </cell>
          <cell r="C103">
            <v>160.13</v>
          </cell>
        </row>
        <row r="104">
          <cell r="B104">
            <v>319.54223400000001</v>
          </cell>
          <cell r="C104">
            <v>159.69</v>
          </cell>
        </row>
        <row r="105">
          <cell r="B105">
            <v>319.54917799999998</v>
          </cell>
          <cell r="C105">
            <v>160.09</v>
          </cell>
        </row>
        <row r="106">
          <cell r="B106">
            <v>319.55612300000001</v>
          </cell>
          <cell r="C106">
            <v>159.28</v>
          </cell>
        </row>
        <row r="107">
          <cell r="B107">
            <v>319.56306699999999</v>
          </cell>
          <cell r="C107">
            <v>160.18</v>
          </cell>
        </row>
        <row r="108">
          <cell r="B108">
            <v>319.57001200000002</v>
          </cell>
          <cell r="C108">
            <v>159</v>
          </cell>
        </row>
        <row r="109">
          <cell r="B109">
            <v>319.576956</v>
          </cell>
          <cell r="C109">
            <v>160</v>
          </cell>
        </row>
        <row r="110">
          <cell r="B110">
            <v>319.58390000000003</v>
          </cell>
          <cell r="C110">
            <v>158.86000000000001</v>
          </cell>
        </row>
        <row r="111">
          <cell r="B111">
            <v>319.590845</v>
          </cell>
          <cell r="C111">
            <v>158.78</v>
          </cell>
        </row>
        <row r="112">
          <cell r="B112">
            <v>319.59778899999998</v>
          </cell>
          <cell r="C112">
            <v>159.1</v>
          </cell>
        </row>
        <row r="113">
          <cell r="B113">
            <v>319.60473400000001</v>
          </cell>
          <cell r="C113">
            <v>158.38999999999999</v>
          </cell>
        </row>
        <row r="114">
          <cell r="B114">
            <v>319.61167799999998</v>
          </cell>
          <cell r="C114">
            <v>157.30000000000001</v>
          </cell>
        </row>
        <row r="115">
          <cell r="B115">
            <v>319.61862300000001</v>
          </cell>
          <cell r="C115">
            <v>156.87</v>
          </cell>
        </row>
        <row r="116">
          <cell r="B116">
            <v>319.62556699999999</v>
          </cell>
          <cell r="C116">
            <v>156.52000000000001</v>
          </cell>
        </row>
        <row r="117">
          <cell r="B117">
            <v>319.63251200000002</v>
          </cell>
          <cell r="C117">
            <v>155.78</v>
          </cell>
        </row>
        <row r="118">
          <cell r="B118">
            <v>319.639456</v>
          </cell>
          <cell r="C118">
            <v>154.56</v>
          </cell>
        </row>
        <row r="119">
          <cell r="B119">
            <v>319.64640000000003</v>
          </cell>
          <cell r="C119">
            <v>156.24</v>
          </cell>
        </row>
        <row r="120">
          <cell r="B120">
            <v>319.653345</v>
          </cell>
          <cell r="C120">
            <v>158.38999999999999</v>
          </cell>
        </row>
        <row r="121">
          <cell r="B121">
            <v>319.66028899999998</v>
          </cell>
          <cell r="C121">
            <v>165.71</v>
          </cell>
        </row>
        <row r="122">
          <cell r="B122">
            <v>319.66723400000001</v>
          </cell>
          <cell r="C122">
            <v>166.68</v>
          </cell>
        </row>
        <row r="123">
          <cell r="B123">
            <v>319.67417799999998</v>
          </cell>
          <cell r="C123">
            <v>166.89</v>
          </cell>
        </row>
        <row r="124">
          <cell r="B124">
            <v>319.68113399999999</v>
          </cell>
          <cell r="C124">
            <v>166.54</v>
          </cell>
        </row>
        <row r="125">
          <cell r="B125">
            <v>319.68807900000002</v>
          </cell>
          <cell r="C125">
            <v>168.78</v>
          </cell>
        </row>
        <row r="126">
          <cell r="B126">
            <v>319.69502299999999</v>
          </cell>
          <cell r="C126">
            <v>169.79</v>
          </cell>
        </row>
        <row r="127">
          <cell r="B127">
            <v>319.70196800000002</v>
          </cell>
          <cell r="C127">
            <v>172.82</v>
          </cell>
        </row>
        <row r="128">
          <cell r="B128">
            <v>319.708912</v>
          </cell>
          <cell r="C128">
            <v>180.14</v>
          </cell>
        </row>
        <row r="129">
          <cell r="B129">
            <v>319.71585599999997</v>
          </cell>
          <cell r="C129">
            <v>182.91</v>
          </cell>
        </row>
        <row r="130">
          <cell r="B130">
            <v>319.722801</v>
          </cell>
          <cell r="C130">
            <v>185.18</v>
          </cell>
        </row>
        <row r="131">
          <cell r="B131">
            <v>319.72974499999998</v>
          </cell>
          <cell r="C131">
            <v>188.53</v>
          </cell>
        </row>
        <row r="132">
          <cell r="B132">
            <v>319.73669000000001</v>
          </cell>
          <cell r="C132">
            <v>194.41</v>
          </cell>
        </row>
        <row r="133">
          <cell r="B133">
            <v>319.74363399999999</v>
          </cell>
          <cell r="C133">
            <v>199.06</v>
          </cell>
        </row>
        <row r="134">
          <cell r="B134">
            <v>319.75056699999999</v>
          </cell>
          <cell r="C134">
            <v>201.06</v>
          </cell>
        </row>
        <row r="135">
          <cell r="B135">
            <v>319.75751200000002</v>
          </cell>
          <cell r="C135">
            <v>206.45</v>
          </cell>
        </row>
        <row r="136">
          <cell r="B136">
            <v>319.764456</v>
          </cell>
          <cell r="C136">
            <v>209.3</v>
          </cell>
        </row>
        <row r="137">
          <cell r="B137">
            <v>319.77140000000003</v>
          </cell>
          <cell r="C137">
            <v>212.01</v>
          </cell>
        </row>
        <row r="138">
          <cell r="B138">
            <v>319.778345</v>
          </cell>
          <cell r="C138">
            <v>215.29</v>
          </cell>
        </row>
        <row r="139">
          <cell r="B139">
            <v>319.78528899999998</v>
          </cell>
          <cell r="C139">
            <v>218.72</v>
          </cell>
        </row>
        <row r="140">
          <cell r="B140">
            <v>319.79223400000001</v>
          </cell>
          <cell r="C140">
            <v>221.99</v>
          </cell>
        </row>
        <row r="141">
          <cell r="B141">
            <v>319.79917799999998</v>
          </cell>
          <cell r="C141">
            <v>224.6</v>
          </cell>
        </row>
        <row r="142">
          <cell r="B142">
            <v>319.80612300000001</v>
          </cell>
          <cell r="C142">
            <v>228.45</v>
          </cell>
        </row>
        <row r="143">
          <cell r="B143">
            <v>319.81306699999999</v>
          </cell>
          <cell r="C143">
            <v>231.68</v>
          </cell>
        </row>
        <row r="144">
          <cell r="B144">
            <v>319.82001200000002</v>
          </cell>
          <cell r="C144">
            <v>235.41</v>
          </cell>
        </row>
        <row r="145">
          <cell r="B145">
            <v>319.826956</v>
          </cell>
          <cell r="C145">
            <v>237.77</v>
          </cell>
        </row>
        <row r="146">
          <cell r="B146">
            <v>319.83390000000003</v>
          </cell>
          <cell r="C146">
            <v>240.34</v>
          </cell>
        </row>
        <row r="147">
          <cell r="B147">
            <v>319.840845</v>
          </cell>
          <cell r="C147">
            <v>243.03</v>
          </cell>
        </row>
        <row r="148">
          <cell r="B148">
            <v>319.84778899999998</v>
          </cell>
          <cell r="C148">
            <v>243.64</v>
          </cell>
        </row>
        <row r="149">
          <cell r="B149">
            <v>319.85473400000001</v>
          </cell>
          <cell r="C149">
            <v>246.32</v>
          </cell>
        </row>
        <row r="150">
          <cell r="B150">
            <v>319.86167799999998</v>
          </cell>
          <cell r="C150">
            <v>247.11</v>
          </cell>
        </row>
        <row r="151">
          <cell r="B151">
            <v>319.86862300000001</v>
          </cell>
          <cell r="C151">
            <v>248.41</v>
          </cell>
        </row>
        <row r="152">
          <cell r="B152">
            <v>319.87556699999999</v>
          </cell>
          <cell r="C152">
            <v>251.89</v>
          </cell>
        </row>
        <row r="153">
          <cell r="B153">
            <v>319.88251200000002</v>
          </cell>
          <cell r="C153">
            <v>249.16</v>
          </cell>
        </row>
        <row r="154">
          <cell r="B154">
            <v>319.889456</v>
          </cell>
          <cell r="C154">
            <v>250.37</v>
          </cell>
        </row>
        <row r="155">
          <cell r="B155">
            <v>319.89640000000003</v>
          </cell>
          <cell r="C155">
            <v>252.35</v>
          </cell>
        </row>
        <row r="156">
          <cell r="B156">
            <v>319.903345</v>
          </cell>
          <cell r="C156">
            <v>254.32</v>
          </cell>
        </row>
        <row r="157">
          <cell r="B157">
            <v>319.91028899999998</v>
          </cell>
          <cell r="C157">
            <v>255.77</v>
          </cell>
        </row>
        <row r="158">
          <cell r="B158">
            <v>319.91723400000001</v>
          </cell>
          <cell r="C158">
            <v>258.62</v>
          </cell>
        </row>
        <row r="159">
          <cell r="B159">
            <v>319.92417799999998</v>
          </cell>
          <cell r="C159">
            <v>261.86</v>
          </cell>
        </row>
        <row r="160">
          <cell r="B160">
            <v>319.93112300000001</v>
          </cell>
          <cell r="C160">
            <v>263.79000000000002</v>
          </cell>
        </row>
        <row r="161">
          <cell r="B161">
            <v>319.93807900000002</v>
          </cell>
          <cell r="C161">
            <v>260.45999999999998</v>
          </cell>
        </row>
        <row r="162">
          <cell r="B162">
            <v>319.94502299999999</v>
          </cell>
          <cell r="C162">
            <v>257.16000000000003</v>
          </cell>
        </row>
        <row r="163">
          <cell r="B163">
            <v>319.95196800000002</v>
          </cell>
          <cell r="C163">
            <v>247.87</v>
          </cell>
        </row>
        <row r="164">
          <cell r="B164">
            <v>319.958912</v>
          </cell>
          <cell r="C164">
            <v>246.42</v>
          </cell>
        </row>
        <row r="165">
          <cell r="B165">
            <v>319.96585599999997</v>
          </cell>
          <cell r="C165">
            <v>248</v>
          </cell>
        </row>
        <row r="166">
          <cell r="B166">
            <v>319.972801</v>
          </cell>
          <cell r="C166">
            <v>247.53</v>
          </cell>
        </row>
        <row r="167">
          <cell r="B167">
            <v>319.97974499999998</v>
          </cell>
          <cell r="C167">
            <v>252</v>
          </cell>
        </row>
        <row r="168">
          <cell r="B168">
            <v>319.98669000000001</v>
          </cell>
          <cell r="C168">
            <v>256.39</v>
          </cell>
        </row>
        <row r="169">
          <cell r="B169">
            <v>319.99363399999999</v>
          </cell>
          <cell r="C169">
            <v>259.77</v>
          </cell>
        </row>
        <row r="170">
          <cell r="B170">
            <v>320.00057900000002</v>
          </cell>
          <cell r="C170">
            <v>261.77</v>
          </cell>
        </row>
        <row r="171">
          <cell r="B171">
            <v>320.00751200000002</v>
          </cell>
          <cell r="C171">
            <v>262.72000000000003</v>
          </cell>
        </row>
        <row r="172">
          <cell r="B172">
            <v>320.014456</v>
          </cell>
          <cell r="C172">
            <v>264.07</v>
          </cell>
        </row>
        <row r="173">
          <cell r="B173">
            <v>320.02140000000003</v>
          </cell>
          <cell r="C173">
            <v>265.22000000000003</v>
          </cell>
        </row>
        <row r="174">
          <cell r="B174">
            <v>320.028345</v>
          </cell>
          <cell r="C174">
            <v>263.17</v>
          </cell>
        </row>
        <row r="175">
          <cell r="B175">
            <v>320.03528899999998</v>
          </cell>
          <cell r="C175">
            <v>266.14</v>
          </cell>
        </row>
        <row r="176">
          <cell r="B176">
            <v>320.04223400000001</v>
          </cell>
          <cell r="C176">
            <v>266.89</v>
          </cell>
        </row>
        <row r="177">
          <cell r="B177">
            <v>320.04917799999998</v>
          </cell>
          <cell r="C177">
            <v>266.98</v>
          </cell>
        </row>
        <row r="178">
          <cell r="B178">
            <v>320.05612300000001</v>
          </cell>
          <cell r="C178">
            <v>267.49</v>
          </cell>
        </row>
        <row r="179">
          <cell r="B179">
            <v>320.06306699999999</v>
          </cell>
          <cell r="C179">
            <v>267.64999999999998</v>
          </cell>
        </row>
        <row r="180">
          <cell r="B180">
            <v>320.07001200000002</v>
          </cell>
          <cell r="C180">
            <v>264.27</v>
          </cell>
        </row>
        <row r="181">
          <cell r="B181">
            <v>320.076956</v>
          </cell>
          <cell r="C181">
            <v>264.33999999999997</v>
          </cell>
        </row>
        <row r="182">
          <cell r="B182">
            <v>320.08390000000003</v>
          </cell>
          <cell r="C182">
            <v>265.72000000000003</v>
          </cell>
        </row>
        <row r="183">
          <cell r="B183">
            <v>320.090845</v>
          </cell>
          <cell r="C183">
            <v>265.83</v>
          </cell>
        </row>
        <row r="184">
          <cell r="B184">
            <v>320.09778899999998</v>
          </cell>
          <cell r="C184">
            <v>261.52999999999997</v>
          </cell>
        </row>
        <row r="185">
          <cell r="B185">
            <v>320.10473400000001</v>
          </cell>
          <cell r="C185">
            <v>254.5</v>
          </cell>
        </row>
        <row r="186">
          <cell r="B186">
            <v>320.11167799999998</v>
          </cell>
          <cell r="C186">
            <v>255.57</v>
          </cell>
        </row>
        <row r="187">
          <cell r="B187">
            <v>320.11862300000001</v>
          </cell>
          <cell r="C187">
            <v>249.61</v>
          </cell>
        </row>
        <row r="188">
          <cell r="B188">
            <v>320.12556699999999</v>
          </cell>
          <cell r="C188">
            <v>246.43</v>
          </cell>
        </row>
        <row r="189">
          <cell r="B189">
            <v>320.13251200000002</v>
          </cell>
          <cell r="C189">
            <v>241.17</v>
          </cell>
        </row>
        <row r="190">
          <cell r="B190">
            <v>320.139456</v>
          </cell>
          <cell r="C190">
            <v>239.46</v>
          </cell>
        </row>
        <row r="191">
          <cell r="B191">
            <v>320.14640000000003</v>
          </cell>
          <cell r="C191">
            <v>235.94</v>
          </cell>
        </row>
        <row r="192">
          <cell r="B192">
            <v>320.153345</v>
          </cell>
          <cell r="C192">
            <v>233.37</v>
          </cell>
        </row>
        <row r="193">
          <cell r="B193">
            <v>320.16028899999998</v>
          </cell>
          <cell r="C193">
            <v>231.36</v>
          </cell>
        </row>
        <row r="194">
          <cell r="B194">
            <v>320.16723400000001</v>
          </cell>
          <cell r="C194">
            <v>226.93</v>
          </cell>
        </row>
        <row r="195">
          <cell r="B195">
            <v>320.17417799999998</v>
          </cell>
          <cell r="C195">
            <v>224.48</v>
          </cell>
        </row>
        <row r="196">
          <cell r="B196">
            <v>320.18112300000001</v>
          </cell>
          <cell r="C196">
            <v>221.71</v>
          </cell>
        </row>
        <row r="197">
          <cell r="B197">
            <v>320.18807900000002</v>
          </cell>
          <cell r="C197">
            <v>218.31</v>
          </cell>
        </row>
        <row r="198">
          <cell r="B198">
            <v>320.19502299999999</v>
          </cell>
          <cell r="C198">
            <v>217.67</v>
          </cell>
        </row>
        <row r="199">
          <cell r="B199">
            <v>320.20196800000002</v>
          </cell>
          <cell r="C199">
            <v>201.78</v>
          </cell>
        </row>
        <row r="200">
          <cell r="B200">
            <v>320.208912</v>
          </cell>
          <cell r="C200">
            <v>209.94</v>
          </cell>
        </row>
        <row r="201">
          <cell r="B201">
            <v>320.21585599999997</v>
          </cell>
          <cell r="C201">
            <v>208.71</v>
          </cell>
        </row>
        <row r="202">
          <cell r="B202">
            <v>320.222801</v>
          </cell>
          <cell r="C202">
            <v>202.86</v>
          </cell>
        </row>
        <row r="203">
          <cell r="B203">
            <v>320.22974499999998</v>
          </cell>
          <cell r="C203">
            <v>202.53</v>
          </cell>
        </row>
        <row r="204">
          <cell r="B204">
            <v>320.23669000000001</v>
          </cell>
          <cell r="C204">
            <v>198.86</v>
          </cell>
        </row>
        <row r="205">
          <cell r="B205">
            <v>320.24363399999999</v>
          </cell>
          <cell r="C205">
            <v>194.65</v>
          </cell>
        </row>
        <row r="206">
          <cell r="B206">
            <v>320.25057900000002</v>
          </cell>
          <cell r="C206">
            <v>190.05</v>
          </cell>
        </row>
        <row r="207">
          <cell r="B207">
            <v>320.25751200000002</v>
          </cell>
          <cell r="C207">
            <v>184.5</v>
          </cell>
        </row>
        <row r="208">
          <cell r="B208">
            <v>320.264456</v>
          </cell>
          <cell r="C208">
            <v>180.53</v>
          </cell>
        </row>
        <row r="209">
          <cell r="B209">
            <v>320.27140000000003</v>
          </cell>
          <cell r="C209">
            <v>177.56</v>
          </cell>
        </row>
        <row r="210">
          <cell r="B210">
            <v>320.278345</v>
          </cell>
          <cell r="C210">
            <v>175.77</v>
          </cell>
        </row>
        <row r="211">
          <cell r="B211">
            <v>320.28528899999998</v>
          </cell>
          <cell r="C211">
            <v>174.59</v>
          </cell>
        </row>
        <row r="212">
          <cell r="B212">
            <v>320.29223400000001</v>
          </cell>
          <cell r="C212">
            <v>172.9</v>
          </cell>
        </row>
        <row r="213">
          <cell r="B213">
            <v>320.29917799999998</v>
          </cell>
          <cell r="C213">
            <v>172.48</v>
          </cell>
        </row>
        <row r="214">
          <cell r="B214">
            <v>320.30612300000001</v>
          </cell>
          <cell r="C214">
            <v>170.29</v>
          </cell>
        </row>
        <row r="215">
          <cell r="B215">
            <v>320.31306699999999</v>
          </cell>
          <cell r="C215">
            <v>168.14</v>
          </cell>
        </row>
        <row r="216">
          <cell r="B216">
            <v>320.32001200000002</v>
          </cell>
          <cell r="C216">
            <v>166.93</v>
          </cell>
        </row>
        <row r="217">
          <cell r="B217">
            <v>320.326956</v>
          </cell>
          <cell r="C217">
            <v>167.04</v>
          </cell>
        </row>
        <row r="218">
          <cell r="B218">
            <v>320.33390000000003</v>
          </cell>
          <cell r="C218">
            <v>166.66</v>
          </cell>
        </row>
        <row r="219">
          <cell r="B219">
            <v>320.340845</v>
          </cell>
          <cell r="C219">
            <v>168.79</v>
          </cell>
        </row>
        <row r="220">
          <cell r="B220">
            <v>320.34778899999998</v>
          </cell>
          <cell r="C220">
            <v>167.92</v>
          </cell>
        </row>
        <row r="221">
          <cell r="B221">
            <v>320.35473400000001</v>
          </cell>
          <cell r="C221">
            <v>169.26</v>
          </cell>
        </row>
        <row r="222">
          <cell r="B222">
            <v>320.36167799999998</v>
          </cell>
          <cell r="C222">
            <v>171.13</v>
          </cell>
        </row>
        <row r="223">
          <cell r="B223">
            <v>320.36862300000001</v>
          </cell>
          <cell r="C223">
            <v>175.88</v>
          </cell>
        </row>
        <row r="224">
          <cell r="B224">
            <v>320.37556699999999</v>
          </cell>
          <cell r="C224">
            <v>175.36</v>
          </cell>
        </row>
        <row r="225">
          <cell r="B225">
            <v>320.38251200000002</v>
          </cell>
          <cell r="C225">
            <v>173.96</v>
          </cell>
        </row>
        <row r="226">
          <cell r="B226">
            <v>320.389456</v>
          </cell>
          <cell r="C226">
            <v>173.58</v>
          </cell>
        </row>
        <row r="227">
          <cell r="B227">
            <v>320.39640000000003</v>
          </cell>
          <cell r="C227">
            <v>173.23</v>
          </cell>
        </row>
        <row r="228">
          <cell r="B228">
            <v>320.403345</v>
          </cell>
          <cell r="C228">
            <v>171.81</v>
          </cell>
        </row>
        <row r="229">
          <cell r="B229">
            <v>320.41028899999998</v>
          </cell>
          <cell r="C229">
            <v>170.56</v>
          </cell>
        </row>
        <row r="230">
          <cell r="B230">
            <v>320.41723400000001</v>
          </cell>
          <cell r="C230">
            <v>170.49</v>
          </cell>
        </row>
        <row r="231">
          <cell r="B231">
            <v>320.42417799999998</v>
          </cell>
          <cell r="C231">
            <v>172.39</v>
          </cell>
        </row>
        <row r="232">
          <cell r="B232">
            <v>320.43112300000001</v>
          </cell>
          <cell r="C232">
            <v>171.46</v>
          </cell>
        </row>
        <row r="233">
          <cell r="B233">
            <v>320.43806699999999</v>
          </cell>
          <cell r="C233">
            <v>169.32</v>
          </cell>
        </row>
        <row r="234">
          <cell r="B234">
            <v>320.44502299999999</v>
          </cell>
          <cell r="C234">
            <v>168.5</v>
          </cell>
        </row>
        <row r="235">
          <cell r="B235">
            <v>320.45196800000002</v>
          </cell>
          <cell r="C235">
            <v>167.2</v>
          </cell>
        </row>
        <row r="236">
          <cell r="B236">
            <v>320.458912</v>
          </cell>
          <cell r="C236">
            <v>167.78</v>
          </cell>
        </row>
        <row r="237">
          <cell r="B237">
            <v>320.46585599999997</v>
          </cell>
          <cell r="C237">
            <v>167.24</v>
          </cell>
        </row>
        <row r="238">
          <cell r="B238">
            <v>320.472801</v>
          </cell>
          <cell r="C238">
            <v>170.6</v>
          </cell>
        </row>
        <row r="239">
          <cell r="B239">
            <v>320.47974499999998</v>
          </cell>
          <cell r="C239">
            <v>170.19</v>
          </cell>
        </row>
        <row r="240">
          <cell r="B240">
            <v>320.48669000000001</v>
          </cell>
          <cell r="C240">
            <v>169.62</v>
          </cell>
        </row>
        <row r="241">
          <cell r="B241">
            <v>320.49363399999999</v>
          </cell>
          <cell r="C241">
            <v>169.4</v>
          </cell>
        </row>
        <row r="242">
          <cell r="B242">
            <v>320.50057900000002</v>
          </cell>
          <cell r="C242">
            <v>168.48</v>
          </cell>
        </row>
        <row r="243">
          <cell r="B243">
            <v>320.50752299999999</v>
          </cell>
          <cell r="C243">
            <v>169.19</v>
          </cell>
        </row>
        <row r="244">
          <cell r="B244">
            <v>320.514456</v>
          </cell>
          <cell r="C244">
            <v>169.45</v>
          </cell>
        </row>
        <row r="245">
          <cell r="B245">
            <v>320.52140000000003</v>
          </cell>
          <cell r="C245">
            <v>168.74</v>
          </cell>
        </row>
        <row r="246">
          <cell r="B246">
            <v>320.528345</v>
          </cell>
          <cell r="C246">
            <v>167.59</v>
          </cell>
        </row>
        <row r="247">
          <cell r="B247">
            <v>320.53528899999998</v>
          </cell>
          <cell r="C247">
            <v>163.41</v>
          </cell>
        </row>
        <row r="248">
          <cell r="B248">
            <v>320.54223400000001</v>
          </cell>
          <cell r="C248">
            <v>162.33000000000001</v>
          </cell>
        </row>
        <row r="249">
          <cell r="B249">
            <v>320.54917799999998</v>
          </cell>
          <cell r="C249">
            <v>160.84</v>
          </cell>
        </row>
        <row r="250">
          <cell r="B250">
            <v>320.55612300000001</v>
          </cell>
          <cell r="C250">
            <v>160.41</v>
          </cell>
        </row>
        <row r="251">
          <cell r="B251">
            <v>320.56306699999999</v>
          </cell>
          <cell r="C251">
            <v>159.94</v>
          </cell>
        </row>
        <row r="252">
          <cell r="B252">
            <v>320.57001200000002</v>
          </cell>
          <cell r="C252">
            <v>160.56</v>
          </cell>
        </row>
        <row r="253">
          <cell r="B253">
            <v>320.576956</v>
          </cell>
          <cell r="C253">
            <v>160.46</v>
          </cell>
        </row>
        <row r="254">
          <cell r="B254">
            <v>320.58390000000003</v>
          </cell>
          <cell r="C254">
            <v>162.32</v>
          </cell>
        </row>
        <row r="255">
          <cell r="B255">
            <v>320.590845</v>
          </cell>
          <cell r="C255">
            <v>164.29</v>
          </cell>
        </row>
        <row r="256">
          <cell r="B256">
            <v>320.59778899999998</v>
          </cell>
          <cell r="C256">
            <v>166.22</v>
          </cell>
        </row>
        <row r="257">
          <cell r="B257">
            <v>320.60473400000001</v>
          </cell>
          <cell r="C257">
            <v>167.4</v>
          </cell>
        </row>
        <row r="258">
          <cell r="B258">
            <v>320.61167799999998</v>
          </cell>
          <cell r="C258">
            <v>167.96</v>
          </cell>
        </row>
        <row r="259">
          <cell r="B259">
            <v>320.61862300000001</v>
          </cell>
          <cell r="C259">
            <v>166.78</v>
          </cell>
        </row>
        <row r="260">
          <cell r="B260">
            <v>320.62556699999999</v>
          </cell>
          <cell r="C260">
            <v>167.36</v>
          </cell>
        </row>
        <row r="261">
          <cell r="B261">
            <v>320.63251200000002</v>
          </cell>
          <cell r="C261">
            <v>166.53</v>
          </cell>
        </row>
        <row r="262">
          <cell r="B262">
            <v>320.639456</v>
          </cell>
          <cell r="C262">
            <v>170.53</v>
          </cell>
        </row>
        <row r="263">
          <cell r="B263">
            <v>320.64640000000003</v>
          </cell>
          <cell r="C263">
            <v>172.42</v>
          </cell>
        </row>
        <row r="264">
          <cell r="B264">
            <v>320.653345</v>
          </cell>
          <cell r="C264">
            <v>173.33</v>
          </cell>
        </row>
        <row r="265">
          <cell r="B265">
            <v>320.66028899999998</v>
          </cell>
          <cell r="C265">
            <v>175.71</v>
          </cell>
        </row>
        <row r="266">
          <cell r="B266">
            <v>320.66723400000001</v>
          </cell>
          <cell r="C266">
            <v>177.2</v>
          </cell>
        </row>
        <row r="267">
          <cell r="B267">
            <v>320.67417799999998</v>
          </cell>
          <cell r="C267">
            <v>176.69</v>
          </cell>
        </row>
        <row r="268">
          <cell r="B268">
            <v>320.68112300000001</v>
          </cell>
          <cell r="C268">
            <v>178.44</v>
          </cell>
        </row>
        <row r="269">
          <cell r="B269">
            <v>320.68806699999999</v>
          </cell>
          <cell r="C269">
            <v>179.97</v>
          </cell>
        </row>
        <row r="270">
          <cell r="B270">
            <v>320.69501200000002</v>
          </cell>
          <cell r="C270">
            <v>181.23</v>
          </cell>
        </row>
        <row r="271">
          <cell r="B271">
            <v>320.70196800000002</v>
          </cell>
          <cell r="C271">
            <v>181.31</v>
          </cell>
        </row>
        <row r="272">
          <cell r="B272">
            <v>320.708912</v>
          </cell>
          <cell r="C272">
            <v>183.57</v>
          </cell>
        </row>
        <row r="273">
          <cell r="B273">
            <v>320.71585599999997</v>
          </cell>
          <cell r="C273">
            <v>184.91</v>
          </cell>
        </row>
        <row r="274">
          <cell r="B274">
            <v>320.722801</v>
          </cell>
          <cell r="C274">
            <v>186.61</v>
          </cell>
        </row>
        <row r="275">
          <cell r="B275">
            <v>320.72974499999998</v>
          </cell>
          <cell r="C275">
            <v>189.82</v>
          </cell>
        </row>
        <row r="276">
          <cell r="B276">
            <v>320.73669000000001</v>
          </cell>
          <cell r="C276">
            <v>191.54</v>
          </cell>
        </row>
        <row r="277">
          <cell r="B277">
            <v>320.74363399999999</v>
          </cell>
          <cell r="C277">
            <v>194.01</v>
          </cell>
        </row>
        <row r="278">
          <cell r="B278">
            <v>320.75057900000002</v>
          </cell>
          <cell r="C278">
            <v>196.42</v>
          </cell>
        </row>
        <row r="279">
          <cell r="B279">
            <v>320.75752299999999</v>
          </cell>
          <cell r="C279">
            <v>199.94</v>
          </cell>
        </row>
        <row r="280">
          <cell r="B280">
            <v>320.76446800000002</v>
          </cell>
          <cell r="C280">
            <v>205.81</v>
          </cell>
        </row>
        <row r="281">
          <cell r="B281">
            <v>320.77140000000003</v>
          </cell>
          <cell r="C281">
            <v>209.13</v>
          </cell>
        </row>
        <row r="282">
          <cell r="B282">
            <v>320.778345</v>
          </cell>
          <cell r="C282">
            <v>210.77</v>
          </cell>
        </row>
        <row r="283">
          <cell r="B283">
            <v>320.78528899999998</v>
          </cell>
          <cell r="C283">
            <v>214.38</v>
          </cell>
        </row>
        <row r="284">
          <cell r="B284">
            <v>320.79223400000001</v>
          </cell>
          <cell r="C284">
            <v>219.75</v>
          </cell>
        </row>
        <row r="285">
          <cell r="B285">
            <v>320.79917799999998</v>
          </cell>
          <cell r="C285">
            <v>222.64</v>
          </cell>
        </row>
        <row r="286">
          <cell r="B286">
            <v>320.80612300000001</v>
          </cell>
          <cell r="C286">
            <v>225.92</v>
          </cell>
        </row>
        <row r="287">
          <cell r="B287">
            <v>320.81306699999999</v>
          </cell>
          <cell r="C287">
            <v>229.83</v>
          </cell>
        </row>
        <row r="288">
          <cell r="B288">
            <v>320.82001200000002</v>
          </cell>
          <cell r="C288">
            <v>231.82</v>
          </cell>
        </row>
        <row r="289">
          <cell r="B289">
            <v>320.826956</v>
          </cell>
          <cell r="C289">
            <v>234.32</v>
          </cell>
        </row>
        <row r="290">
          <cell r="B290">
            <v>320.83390000000003</v>
          </cell>
          <cell r="C290">
            <v>239.28</v>
          </cell>
        </row>
        <row r="291">
          <cell r="B291">
            <v>320.840845</v>
          </cell>
          <cell r="C291">
            <v>240.81</v>
          </cell>
        </row>
        <row r="292">
          <cell r="B292">
            <v>320.84778899999998</v>
          </cell>
          <cell r="C292">
            <v>242.99</v>
          </cell>
        </row>
        <row r="293">
          <cell r="B293">
            <v>320.85473400000001</v>
          </cell>
          <cell r="C293">
            <v>242.23</v>
          </cell>
        </row>
        <row r="294">
          <cell r="B294">
            <v>320.86167799999998</v>
          </cell>
          <cell r="C294">
            <v>243.61</v>
          </cell>
        </row>
        <row r="295">
          <cell r="B295">
            <v>320.86862300000001</v>
          </cell>
          <cell r="C295">
            <v>245.1</v>
          </cell>
        </row>
        <row r="296">
          <cell r="B296">
            <v>320.87556699999999</v>
          </cell>
          <cell r="C296">
            <v>244.15</v>
          </cell>
        </row>
        <row r="297">
          <cell r="B297">
            <v>320.88251200000002</v>
          </cell>
          <cell r="C297">
            <v>240.41</v>
          </cell>
        </row>
        <row r="298">
          <cell r="B298">
            <v>320.889456</v>
          </cell>
          <cell r="C298">
            <v>241.61</v>
          </cell>
        </row>
        <row r="299">
          <cell r="B299">
            <v>320.89640000000003</v>
          </cell>
          <cell r="C299">
            <v>275.3</v>
          </cell>
        </row>
        <row r="300">
          <cell r="B300">
            <v>320.90277800000001</v>
          </cell>
          <cell r="C300">
            <v>249.11</v>
          </cell>
        </row>
        <row r="301">
          <cell r="B301">
            <v>320.90972199999999</v>
          </cell>
          <cell r="C301">
            <v>241.78</v>
          </cell>
        </row>
        <row r="302">
          <cell r="B302">
            <v>320.91666700000002</v>
          </cell>
          <cell r="C302">
            <v>234.71</v>
          </cell>
        </row>
        <row r="303">
          <cell r="B303">
            <v>320.92361099999999</v>
          </cell>
          <cell r="C303">
            <v>229.21</v>
          </cell>
        </row>
        <row r="304">
          <cell r="B304">
            <v>320.93055600000002</v>
          </cell>
          <cell r="C304">
            <v>223.28</v>
          </cell>
        </row>
      </sheetData>
      <sheetData sheetId="2">
        <row r="3">
          <cell r="G3">
            <v>319.75</v>
          </cell>
          <cell r="J3">
            <v>200.9375</v>
          </cell>
        </row>
        <row r="4">
          <cell r="G4">
            <v>319.83333333333337</v>
          </cell>
          <cell r="J4">
            <v>239.99999999999997</v>
          </cell>
        </row>
        <row r="5">
          <cell r="G5">
            <v>319.91666666666669</v>
          </cell>
          <cell r="J5">
            <v>256.875</v>
          </cell>
        </row>
        <row r="6">
          <cell r="G6">
            <v>320</v>
          </cell>
          <cell r="J6">
            <v>259.6875</v>
          </cell>
        </row>
        <row r="7">
          <cell r="G7">
            <v>320.08333333333337</v>
          </cell>
          <cell r="J7">
            <v>263.75</v>
          </cell>
        </row>
        <row r="8">
          <cell r="G8">
            <v>320.16666666666669</v>
          </cell>
          <cell r="J8">
            <v>228.75</v>
          </cell>
        </row>
        <row r="9">
          <cell r="G9">
            <v>320.25</v>
          </cell>
          <cell r="J9">
            <v>192.8125</v>
          </cell>
        </row>
        <row r="10">
          <cell r="G10">
            <v>320.33333333333337</v>
          </cell>
          <cell r="J10">
            <v>170.625</v>
          </cell>
        </row>
        <row r="11">
          <cell r="G11">
            <v>320.41666666666669</v>
          </cell>
          <cell r="J11">
            <v>174.375</v>
          </cell>
        </row>
        <row r="12">
          <cell r="G12">
            <v>320.5</v>
          </cell>
          <cell r="J12">
            <v>172.5</v>
          </cell>
        </row>
        <row r="13">
          <cell r="G13">
            <v>320.58333333333337</v>
          </cell>
          <cell r="J13">
            <v>161.875</v>
          </cell>
        </row>
        <row r="14">
          <cell r="G14">
            <v>320.66666666666669</v>
          </cell>
          <cell r="J14">
            <v>178.4375</v>
          </cell>
        </row>
        <row r="15">
          <cell r="G15">
            <v>320.75</v>
          </cell>
          <cell r="J15">
            <v>197.5</v>
          </cell>
        </row>
        <row r="16">
          <cell r="G16">
            <v>320.83333333333337</v>
          </cell>
          <cell r="J16">
            <v>237.5</v>
          </cell>
        </row>
      </sheetData>
      <sheetData sheetId="3">
        <row r="2">
          <cell r="F2">
            <v>319.66666666666669</v>
          </cell>
        </row>
        <row r="3">
          <cell r="F3">
            <v>319.66666666666669</v>
          </cell>
          <cell r="P3">
            <v>171.88837186545976</v>
          </cell>
        </row>
        <row r="4">
          <cell r="F4">
            <v>319.75</v>
          </cell>
        </row>
        <row r="5">
          <cell r="F5">
            <v>319.75</v>
          </cell>
          <cell r="P5">
            <v>206.95567125015953</v>
          </cell>
        </row>
        <row r="6">
          <cell r="F6">
            <v>319.83333333333337</v>
          </cell>
        </row>
        <row r="7">
          <cell r="F7">
            <v>319.83333333333337</v>
          </cell>
          <cell r="P7">
            <v>243.24840808759404</v>
          </cell>
        </row>
        <row r="8">
          <cell r="F8">
            <v>319.91666666666669</v>
          </cell>
        </row>
        <row r="9">
          <cell r="F9">
            <v>319.91666666666669</v>
          </cell>
          <cell r="P9">
            <v>263.02673532149214</v>
          </cell>
        </row>
        <row r="10">
          <cell r="F10">
            <v>320</v>
          </cell>
        </row>
        <row r="11">
          <cell r="F11">
            <v>320</v>
          </cell>
          <cell r="P11">
            <v>265.34883338614594</v>
          </cell>
        </row>
        <row r="12">
          <cell r="F12">
            <v>320.08333333333337</v>
          </cell>
        </row>
        <row r="13">
          <cell r="F13">
            <v>320.08333333333337</v>
          </cell>
          <cell r="P13">
            <v>265.47538289176748</v>
          </cell>
        </row>
        <row r="14">
          <cell r="F14">
            <v>320.16666666666669</v>
          </cell>
        </row>
        <row r="15">
          <cell r="F15">
            <v>320.16666666666669</v>
          </cell>
          <cell r="P15">
            <v>225.89290360594362</v>
          </cell>
        </row>
        <row r="16">
          <cell r="F16">
            <v>320.25</v>
          </cell>
        </row>
        <row r="17">
          <cell r="F17">
            <v>320.25</v>
          </cell>
          <cell r="P17">
            <v>184.68222247434522</v>
          </cell>
        </row>
        <row r="18">
          <cell r="F18">
            <v>320.33333333333337</v>
          </cell>
        </row>
        <row r="19">
          <cell r="F19">
            <v>320.33333333333337</v>
          </cell>
          <cell r="P19">
            <v>168.90889440840181</v>
          </cell>
        </row>
        <row r="20">
          <cell r="F20">
            <v>320.41666666666669</v>
          </cell>
        </row>
        <row r="21">
          <cell r="F21">
            <v>320.41666666666669</v>
          </cell>
          <cell r="P21">
            <v>176.48288362003416</v>
          </cell>
        </row>
        <row r="22">
          <cell r="F22">
            <v>320.5</v>
          </cell>
        </row>
        <row r="23">
          <cell r="F23">
            <v>320.5</v>
          </cell>
          <cell r="P23">
            <v>182.29622443155139</v>
          </cell>
        </row>
        <row r="24">
          <cell r="F24">
            <v>320.58333333333337</v>
          </cell>
        </row>
        <row r="25">
          <cell r="F25">
            <v>320.58333333333337</v>
          </cell>
          <cell r="P25">
            <v>167.10999502018819</v>
          </cell>
        </row>
        <row r="26">
          <cell r="F26">
            <v>320.66666666666669</v>
          </cell>
        </row>
        <row r="27">
          <cell r="F27">
            <v>320.66666666666669</v>
          </cell>
          <cell r="P27">
            <v>195.92085218517764</v>
          </cell>
        </row>
        <row r="28">
          <cell r="F28">
            <v>320.75</v>
          </cell>
        </row>
        <row r="29">
          <cell r="F29">
            <v>320.75</v>
          </cell>
          <cell r="P29">
            <v>203.67025775402141</v>
          </cell>
        </row>
        <row r="30">
          <cell r="F30">
            <v>320.83333333333337</v>
          </cell>
        </row>
        <row r="31">
          <cell r="F31">
            <v>320.83333333333337</v>
          </cell>
          <cell r="P31">
            <v>243.05409374959419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42113-B6E6-8C4A-B178-6B9EC6B67F11}">
  <dimension ref="A1:A128"/>
  <sheetViews>
    <sheetView workbookViewId="0">
      <selection activeCell="AW85" sqref="AW85"/>
    </sheetView>
  </sheetViews>
  <sheetFormatPr baseColWidth="10" defaultRowHeight="16" x14ac:dyDescent="0.2"/>
  <sheetData>
    <row r="1" spans="1:1" x14ac:dyDescent="0.2">
      <c r="A1" s="59" t="s">
        <v>461</v>
      </c>
    </row>
    <row r="2" spans="1:1" x14ac:dyDescent="0.2">
      <c r="A2" s="60" t="s">
        <v>462</v>
      </c>
    </row>
    <row r="3" spans="1:1" x14ac:dyDescent="0.2">
      <c r="A3" s="60" t="s">
        <v>463</v>
      </c>
    </row>
    <row r="4" spans="1:1" x14ac:dyDescent="0.2">
      <c r="A4" s="60" t="s">
        <v>464</v>
      </c>
    </row>
    <row r="6" spans="1:1" x14ac:dyDescent="0.2">
      <c r="A6" s="60" t="s">
        <v>465</v>
      </c>
    </row>
    <row r="8" spans="1:1" x14ac:dyDescent="0.2">
      <c r="A8" s="61" t="s">
        <v>466</v>
      </c>
    </row>
    <row r="9" spans="1:1" x14ac:dyDescent="0.2">
      <c r="A9" s="61" t="s">
        <v>467</v>
      </c>
    </row>
    <row r="10" spans="1:1" x14ac:dyDescent="0.2">
      <c r="A10" s="61" t="s">
        <v>468</v>
      </c>
    </row>
    <row r="11" spans="1:1" x14ac:dyDescent="0.2">
      <c r="A11" s="61" t="s">
        <v>469</v>
      </c>
    </row>
    <row r="12" spans="1:1" x14ac:dyDescent="0.2">
      <c r="A12" s="61" t="s">
        <v>470</v>
      </c>
    </row>
    <row r="13" spans="1:1" x14ac:dyDescent="0.2">
      <c r="A13" s="61" t="s">
        <v>471</v>
      </c>
    </row>
    <row r="14" spans="1:1" x14ac:dyDescent="0.2">
      <c r="A14" s="61" t="s">
        <v>472</v>
      </c>
    </row>
    <row r="15" spans="1:1" ht="18" x14ac:dyDescent="0.2">
      <c r="A15" s="61" t="s">
        <v>473</v>
      </c>
    </row>
    <row r="16" spans="1:1" x14ac:dyDescent="0.2">
      <c r="A16" s="61" t="s">
        <v>474</v>
      </c>
    </row>
    <row r="17" spans="1:1" x14ac:dyDescent="0.2">
      <c r="A17" s="61" t="s">
        <v>475</v>
      </c>
    </row>
    <row r="18" spans="1:1" ht="18" x14ac:dyDescent="0.2">
      <c r="A18" s="61" t="s">
        <v>476</v>
      </c>
    </row>
    <row r="19" spans="1:1" x14ac:dyDescent="0.2">
      <c r="A19" s="61" t="s">
        <v>477</v>
      </c>
    </row>
    <row r="20" spans="1:1" x14ac:dyDescent="0.2">
      <c r="A20" s="61" t="s">
        <v>478</v>
      </c>
    </row>
    <row r="21" spans="1:1" x14ac:dyDescent="0.2">
      <c r="A21" s="61" t="s">
        <v>479</v>
      </c>
    </row>
    <row r="22" spans="1:1" ht="18" x14ac:dyDescent="0.2">
      <c r="A22" s="61" t="s">
        <v>480</v>
      </c>
    </row>
    <row r="23" spans="1:1" x14ac:dyDescent="0.2">
      <c r="A23" s="61" t="s">
        <v>481</v>
      </c>
    </row>
    <row r="24" spans="1:1" x14ac:dyDescent="0.2">
      <c r="A24" s="61" t="s">
        <v>482</v>
      </c>
    </row>
    <row r="26" spans="1:1" x14ac:dyDescent="0.2">
      <c r="A26" s="62" t="s">
        <v>483</v>
      </c>
    </row>
    <row r="27" spans="1:1" x14ac:dyDescent="0.2">
      <c r="A27" s="62"/>
    </row>
    <row r="28" spans="1:1" x14ac:dyDescent="0.2">
      <c r="A28" s="59" t="s">
        <v>484</v>
      </c>
    </row>
    <row r="29" spans="1:1" x14ac:dyDescent="0.2">
      <c r="A29" s="60"/>
    </row>
    <row r="30" spans="1:1" x14ac:dyDescent="0.2">
      <c r="A30" s="60" t="s">
        <v>485</v>
      </c>
    </row>
    <row r="31" spans="1:1" x14ac:dyDescent="0.2">
      <c r="A31" s="60" t="s">
        <v>486</v>
      </c>
    </row>
    <row r="32" spans="1:1" x14ac:dyDescent="0.2">
      <c r="A32" s="63" t="s">
        <v>487</v>
      </c>
    </row>
    <row r="33" spans="1:1" x14ac:dyDescent="0.2">
      <c r="A33" s="63" t="s">
        <v>488</v>
      </c>
    </row>
    <row r="34" spans="1:1" ht="18" x14ac:dyDescent="0.2">
      <c r="A34" s="63" t="s">
        <v>489</v>
      </c>
    </row>
    <row r="35" spans="1:1" x14ac:dyDescent="0.2">
      <c r="A35" s="63" t="s">
        <v>490</v>
      </c>
    </row>
    <row r="36" spans="1:1" x14ac:dyDescent="0.2">
      <c r="A36" s="63" t="s">
        <v>491</v>
      </c>
    </row>
    <row r="37" spans="1:1" ht="18" x14ac:dyDescent="0.2">
      <c r="A37" s="63" t="s">
        <v>492</v>
      </c>
    </row>
    <row r="38" spans="1:1" x14ac:dyDescent="0.2">
      <c r="A38" s="63" t="s">
        <v>493</v>
      </c>
    </row>
    <row r="39" spans="1:1" ht="18" x14ac:dyDescent="0.2">
      <c r="A39" s="63" t="s">
        <v>494</v>
      </c>
    </row>
    <row r="40" spans="1:1" ht="18" x14ac:dyDescent="0.2">
      <c r="A40" s="63" t="s">
        <v>495</v>
      </c>
    </row>
    <row r="41" spans="1:1" ht="18" x14ac:dyDescent="0.2">
      <c r="A41" s="63" t="s">
        <v>496</v>
      </c>
    </row>
    <row r="42" spans="1:1" x14ac:dyDescent="0.2">
      <c r="A42" s="63" t="s">
        <v>497</v>
      </c>
    </row>
    <row r="43" spans="1:1" x14ac:dyDescent="0.2">
      <c r="A43" s="63" t="s">
        <v>498</v>
      </c>
    </row>
    <row r="44" spans="1:1" x14ac:dyDescent="0.2">
      <c r="A44" s="63" t="s">
        <v>499</v>
      </c>
    </row>
    <row r="45" spans="1:1" ht="18" x14ac:dyDescent="0.2">
      <c r="A45" s="63" t="s">
        <v>500</v>
      </c>
    </row>
    <row r="46" spans="1:1" ht="18" x14ac:dyDescent="0.2">
      <c r="A46" s="63" t="s">
        <v>501</v>
      </c>
    </row>
    <row r="47" spans="1:1" ht="18" x14ac:dyDescent="0.2">
      <c r="A47" s="63" t="s">
        <v>502</v>
      </c>
    </row>
    <row r="48" spans="1:1" ht="18" x14ac:dyDescent="0.2">
      <c r="A48" s="63" t="s">
        <v>503</v>
      </c>
    </row>
    <row r="49" spans="1:1" x14ac:dyDescent="0.2">
      <c r="A49" s="63" t="s">
        <v>504</v>
      </c>
    </row>
    <row r="50" spans="1:1" x14ac:dyDescent="0.2">
      <c r="A50" s="63" t="s">
        <v>505</v>
      </c>
    </row>
    <row r="51" spans="1:1" ht="18" x14ac:dyDescent="0.2">
      <c r="A51" s="63" t="s">
        <v>506</v>
      </c>
    </row>
    <row r="52" spans="1:1" ht="18" x14ac:dyDescent="0.2">
      <c r="A52" s="63" t="s">
        <v>507</v>
      </c>
    </row>
    <row r="53" spans="1:1" ht="18" x14ac:dyDescent="0.2">
      <c r="A53" s="63" t="s">
        <v>508</v>
      </c>
    </row>
    <row r="54" spans="1:1" ht="18" x14ac:dyDescent="0.2">
      <c r="A54" s="63" t="s">
        <v>509</v>
      </c>
    </row>
    <row r="55" spans="1:1" x14ac:dyDescent="0.2">
      <c r="A55" s="60"/>
    </row>
    <row r="56" spans="1:1" ht="18" x14ac:dyDescent="0.2">
      <c r="A56" s="60" t="s">
        <v>510</v>
      </c>
    </row>
    <row r="57" spans="1:1" x14ac:dyDescent="0.2">
      <c r="A57" s="60"/>
    </row>
    <row r="58" spans="1:1" x14ac:dyDescent="0.2">
      <c r="A58" s="59" t="s">
        <v>511</v>
      </c>
    </row>
    <row r="59" spans="1:1" x14ac:dyDescent="0.2">
      <c r="A59" s="60"/>
    </row>
    <row r="60" spans="1:1" ht="18" x14ac:dyDescent="0.2">
      <c r="A60" s="60" t="s">
        <v>512</v>
      </c>
    </row>
    <row r="61" spans="1:1" x14ac:dyDescent="0.2">
      <c r="A61" s="60"/>
    </row>
    <row r="62" spans="1:1" x14ac:dyDescent="0.2">
      <c r="A62" s="59" t="s">
        <v>513</v>
      </c>
    </row>
    <row r="63" spans="1:1" x14ac:dyDescent="0.2">
      <c r="A63" s="60"/>
    </row>
    <row r="64" spans="1:1" ht="18" x14ac:dyDescent="0.2">
      <c r="A64" s="60" t="s">
        <v>514</v>
      </c>
    </row>
    <row r="65" spans="1:1" x14ac:dyDescent="0.2">
      <c r="A65" s="60"/>
    </row>
    <row r="66" spans="1:1" x14ac:dyDescent="0.2">
      <c r="A66" s="59" t="s">
        <v>515</v>
      </c>
    </row>
    <row r="67" spans="1:1" x14ac:dyDescent="0.2">
      <c r="A67" s="60"/>
    </row>
    <row r="68" spans="1:1" ht="18" x14ac:dyDescent="0.2">
      <c r="A68" s="60" t="s">
        <v>516</v>
      </c>
    </row>
    <row r="69" spans="1:1" x14ac:dyDescent="0.2">
      <c r="A69" s="60"/>
    </row>
    <row r="70" spans="1:1" x14ac:dyDescent="0.2">
      <c r="A70" s="59" t="s">
        <v>517</v>
      </c>
    </row>
    <row r="71" spans="1:1" x14ac:dyDescent="0.2">
      <c r="A71" s="59"/>
    </row>
    <row r="72" spans="1:1" x14ac:dyDescent="0.2">
      <c r="A72" s="60" t="s">
        <v>518</v>
      </c>
    </row>
    <row r="73" spans="1:1" x14ac:dyDescent="0.2">
      <c r="A73" s="60"/>
    </row>
    <row r="74" spans="1:1" x14ac:dyDescent="0.2">
      <c r="A74" s="59" t="s">
        <v>519</v>
      </c>
    </row>
    <row r="75" spans="1:1" x14ac:dyDescent="0.2">
      <c r="A75" s="59"/>
    </row>
    <row r="76" spans="1:1" ht="18" x14ac:dyDescent="0.2">
      <c r="A76" s="60" t="s">
        <v>520</v>
      </c>
    </row>
    <row r="77" spans="1:1" x14ac:dyDescent="0.2">
      <c r="A77" s="60"/>
    </row>
    <row r="78" spans="1:1" x14ac:dyDescent="0.2">
      <c r="A78" s="59" t="s">
        <v>521</v>
      </c>
    </row>
    <row r="79" spans="1:1" x14ac:dyDescent="0.2">
      <c r="A79" s="59"/>
    </row>
    <row r="80" spans="1:1" ht="18" x14ac:dyDescent="0.2">
      <c r="A80" s="60" t="s">
        <v>522</v>
      </c>
    </row>
    <row r="82" spans="1:1" ht="18" x14ac:dyDescent="0.2">
      <c r="A82" s="60" t="s">
        <v>523</v>
      </c>
    </row>
    <row r="83" spans="1:1" x14ac:dyDescent="0.2">
      <c r="A83" s="60"/>
    </row>
    <row r="84" spans="1:1" ht="18" x14ac:dyDescent="0.2">
      <c r="A84" s="59" t="s">
        <v>524</v>
      </c>
    </row>
    <row r="85" spans="1:1" x14ac:dyDescent="0.2">
      <c r="A85" s="59"/>
    </row>
    <row r="86" spans="1:1" ht="18" x14ac:dyDescent="0.2">
      <c r="A86" s="60" t="s">
        <v>525</v>
      </c>
    </row>
    <row r="87" spans="1:1" x14ac:dyDescent="0.2">
      <c r="A87" s="60"/>
    </row>
    <row r="88" spans="1:1" ht="18" x14ac:dyDescent="0.2">
      <c r="A88" s="60" t="s">
        <v>526</v>
      </c>
    </row>
    <row r="90" spans="1:1" ht="18" x14ac:dyDescent="0.2">
      <c r="A90" s="60" t="s">
        <v>527</v>
      </c>
    </row>
    <row r="92" spans="1:1" ht="18" x14ac:dyDescent="0.2">
      <c r="A92" s="60" t="s">
        <v>528</v>
      </c>
    </row>
    <row r="93" spans="1:1" x14ac:dyDescent="0.2">
      <c r="A93" s="60"/>
    </row>
    <row r="94" spans="1:1" x14ac:dyDescent="0.2">
      <c r="A94" s="59" t="s">
        <v>529</v>
      </c>
    </row>
    <row r="95" spans="1:1" x14ac:dyDescent="0.2">
      <c r="A95" s="59"/>
    </row>
    <row r="96" spans="1:1" x14ac:dyDescent="0.2">
      <c r="A96" s="60" t="s">
        <v>530</v>
      </c>
    </row>
    <row r="97" spans="1:1" x14ac:dyDescent="0.2">
      <c r="A97" s="60"/>
    </row>
    <row r="98" spans="1:1" x14ac:dyDescent="0.2">
      <c r="A98" s="59" t="s">
        <v>531</v>
      </c>
    </row>
    <row r="99" spans="1:1" x14ac:dyDescent="0.2">
      <c r="A99" s="59"/>
    </row>
    <row r="100" spans="1:1" ht="18" x14ac:dyDescent="0.2">
      <c r="A100" s="60" t="s">
        <v>532</v>
      </c>
    </row>
    <row r="101" spans="1:1" x14ac:dyDescent="0.2">
      <c r="A101" s="60"/>
    </row>
    <row r="102" spans="1:1" ht="18" x14ac:dyDescent="0.2">
      <c r="A102" s="59" t="s">
        <v>533</v>
      </c>
    </row>
    <row r="103" spans="1:1" x14ac:dyDescent="0.2">
      <c r="A103" s="59"/>
    </row>
    <row r="104" spans="1:1" ht="18" x14ac:dyDescent="0.2">
      <c r="A104" s="60" t="s">
        <v>534</v>
      </c>
    </row>
    <row r="105" spans="1:1" x14ac:dyDescent="0.2">
      <c r="A105" s="60"/>
    </row>
    <row r="106" spans="1:1" x14ac:dyDescent="0.2">
      <c r="A106" s="59" t="s">
        <v>535</v>
      </c>
    </row>
    <row r="107" spans="1:1" x14ac:dyDescent="0.2">
      <c r="A107" s="59"/>
    </row>
    <row r="108" spans="1:1" x14ac:dyDescent="0.2">
      <c r="A108" s="60" t="s">
        <v>536</v>
      </c>
    </row>
    <row r="109" spans="1:1" x14ac:dyDescent="0.2">
      <c r="A109" s="60"/>
    </row>
    <row r="110" spans="1:1" x14ac:dyDescent="0.2">
      <c r="A110" s="59" t="s">
        <v>537</v>
      </c>
    </row>
    <row r="111" spans="1:1" x14ac:dyDescent="0.2">
      <c r="A111" s="59"/>
    </row>
    <row r="112" spans="1:1" ht="18" x14ac:dyDescent="0.2">
      <c r="A112" s="60" t="s">
        <v>538</v>
      </c>
    </row>
    <row r="113" spans="1:1" x14ac:dyDescent="0.2">
      <c r="A113" s="60"/>
    </row>
    <row r="114" spans="1:1" x14ac:dyDescent="0.2">
      <c r="A114" s="59" t="s">
        <v>539</v>
      </c>
    </row>
    <row r="115" spans="1:1" x14ac:dyDescent="0.2">
      <c r="A115" s="59"/>
    </row>
    <row r="116" spans="1:1" x14ac:dyDescent="0.2">
      <c r="A116" s="60" t="s">
        <v>540</v>
      </c>
    </row>
    <row r="117" spans="1:1" x14ac:dyDescent="0.2">
      <c r="A117" s="60"/>
    </row>
    <row r="118" spans="1:1" ht="18" x14ac:dyDescent="0.2">
      <c r="A118" s="59" t="s">
        <v>541</v>
      </c>
    </row>
    <row r="119" spans="1:1" x14ac:dyDescent="0.2">
      <c r="A119" s="59"/>
    </row>
    <row r="120" spans="1:1" ht="18" x14ac:dyDescent="0.2">
      <c r="A120" s="60" t="s">
        <v>542</v>
      </c>
    </row>
    <row r="121" spans="1:1" x14ac:dyDescent="0.2">
      <c r="A121" s="60"/>
    </row>
    <row r="122" spans="1:1" x14ac:dyDescent="0.2">
      <c r="A122" s="59" t="s">
        <v>543</v>
      </c>
    </row>
    <row r="123" spans="1:1" x14ac:dyDescent="0.2">
      <c r="A123" s="59"/>
    </row>
    <row r="124" spans="1:1" x14ac:dyDescent="0.2">
      <c r="A124" s="60" t="s">
        <v>544</v>
      </c>
    </row>
    <row r="125" spans="1:1" x14ac:dyDescent="0.2">
      <c r="A125" s="60"/>
    </row>
    <row r="126" spans="1:1" x14ac:dyDescent="0.2">
      <c r="A126" s="59" t="s">
        <v>545</v>
      </c>
    </row>
    <row r="127" spans="1:1" x14ac:dyDescent="0.2">
      <c r="A127" s="59"/>
    </row>
    <row r="128" spans="1:1" ht="18" x14ac:dyDescent="0.2">
      <c r="A128" s="60" t="s">
        <v>546</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542A6-EE56-7B42-A65B-97AF40FA1137}">
  <dimension ref="A1:X122"/>
  <sheetViews>
    <sheetView topLeftCell="A40" workbookViewId="0">
      <selection sqref="A1:XFD1"/>
    </sheetView>
  </sheetViews>
  <sheetFormatPr baseColWidth="10" defaultRowHeight="16" x14ac:dyDescent="0.2"/>
  <cols>
    <col min="1" max="1" width="37.33203125" customWidth="1"/>
    <col min="2" max="2" width="26.1640625" bestFit="1" customWidth="1"/>
    <col min="3" max="3" width="21.5" bestFit="1" customWidth="1"/>
    <col min="4" max="4" width="20.83203125" bestFit="1" customWidth="1"/>
    <col min="5" max="5" width="41" bestFit="1" customWidth="1"/>
    <col min="6" max="6" width="11" bestFit="1" customWidth="1"/>
    <col min="7" max="7" width="21.5" bestFit="1" customWidth="1"/>
    <col min="8" max="8" width="14.1640625" bestFit="1" customWidth="1"/>
    <col min="9" max="9" width="17.1640625" bestFit="1" customWidth="1"/>
    <col min="10" max="10" width="21.6640625" bestFit="1" customWidth="1"/>
    <col min="11" max="11" width="17.5" bestFit="1" customWidth="1"/>
    <col min="15" max="15" width="12.1640625" bestFit="1" customWidth="1"/>
    <col min="16" max="16" width="20.83203125" bestFit="1" customWidth="1"/>
    <col min="17" max="17" width="11.1640625" bestFit="1" customWidth="1"/>
    <col min="18" max="18" width="15.1640625" bestFit="1" customWidth="1"/>
    <col min="20" max="20" width="16.33203125" bestFit="1" customWidth="1"/>
    <col min="21" max="21" width="12.1640625" bestFit="1" customWidth="1"/>
    <col min="22" max="22" width="19.33203125" bestFit="1" customWidth="1"/>
    <col min="23" max="23" width="13.1640625" bestFit="1" customWidth="1"/>
    <col min="24" max="24" width="20.33203125" bestFit="1" customWidth="1"/>
  </cols>
  <sheetData>
    <row r="1" spans="1:24" x14ac:dyDescent="0.2">
      <c r="A1" s="10" t="s">
        <v>84</v>
      </c>
      <c r="C1" s="1"/>
      <c r="D1" s="1"/>
    </row>
    <row r="2" spans="1:24" x14ac:dyDescent="0.2">
      <c r="A2" s="2" t="s">
        <v>71</v>
      </c>
      <c r="B2" s="2" t="s">
        <v>72</v>
      </c>
      <c r="C2" s="2" t="s">
        <v>21</v>
      </c>
      <c r="D2" s="2" t="s">
        <v>81</v>
      </c>
      <c r="E2" s="2" t="s">
        <v>73</v>
      </c>
      <c r="F2" s="2"/>
      <c r="G2" s="2" t="s">
        <v>82</v>
      </c>
      <c r="H2" s="2" t="s">
        <v>74</v>
      </c>
      <c r="I2" s="2" t="s">
        <v>75</v>
      </c>
      <c r="J2" s="2" t="s">
        <v>76</v>
      </c>
      <c r="K2" s="2" t="s">
        <v>77</v>
      </c>
      <c r="L2" s="2"/>
      <c r="M2" s="2" t="s">
        <v>78</v>
      </c>
      <c r="N2" s="2"/>
      <c r="O2" s="2" t="s">
        <v>83</v>
      </c>
      <c r="P2" s="2" t="s">
        <v>300</v>
      </c>
      <c r="Q2" s="2" t="s">
        <v>79</v>
      </c>
      <c r="R2" s="2" t="s">
        <v>80</v>
      </c>
      <c r="T2" t="s">
        <v>68</v>
      </c>
      <c r="U2" s="2" t="s">
        <v>310</v>
      </c>
      <c r="V2" s="2" t="s">
        <v>312</v>
      </c>
      <c r="W2" s="2" t="s">
        <v>311</v>
      </c>
      <c r="X2" s="2" t="s">
        <v>313</v>
      </c>
    </row>
    <row r="3" spans="1:24" x14ac:dyDescent="0.2">
      <c r="A3" s="20">
        <v>42323.25</v>
      </c>
      <c r="B3" s="18">
        <v>27.401399999999999</v>
      </c>
      <c r="C3" s="2">
        <v>35.840000000000003</v>
      </c>
      <c r="D3" s="2">
        <v>2355.92</v>
      </c>
      <c r="E3" s="18">
        <f>(D3/C3)*35.4</f>
        <v>2326.9968749999998</v>
      </c>
      <c r="F3" s="2"/>
      <c r="G3" s="18">
        <v>2113.0300000000002</v>
      </c>
      <c r="H3" s="18">
        <f>(G3/C3)*35.4</f>
        <v>2087.0887834821428</v>
      </c>
      <c r="I3" s="12">
        <v>2002.24853515625</v>
      </c>
      <c r="J3" s="30">
        <v>16.476420999999998</v>
      </c>
      <c r="K3" s="31">
        <v>10.624513586422182</v>
      </c>
      <c r="L3" s="2"/>
      <c r="M3" s="15">
        <v>7.890230655670166</v>
      </c>
      <c r="N3" s="2"/>
      <c r="O3" s="18">
        <v>209.0625</v>
      </c>
      <c r="P3" s="18">
        <f t="shared" ref="P3:P15" si="0">(O3/C3)*35.4</f>
        <v>206.49588448660711</v>
      </c>
      <c r="Q3" s="18">
        <v>197.328305</v>
      </c>
      <c r="R3" s="18">
        <v>192.5154197</v>
      </c>
      <c r="S3" s="17"/>
      <c r="T3" s="17">
        <v>3.0555580000000004</v>
      </c>
      <c r="U3" s="17">
        <f>'All Experimental Diel Data'!U19</f>
        <v>396.32773730271037</v>
      </c>
      <c r="V3">
        <f>(0.251*(T3)^2*(U3/660)^(-0.5))/100</f>
        <v>3.0241234718532413E-2</v>
      </c>
      <c r="W3" s="17">
        <f>'All Experimental Diel Data'!W19</f>
        <v>465.59174605269402</v>
      </c>
      <c r="X3">
        <f>(0.251*(T3)^2*(W3/660)^(-0.5))/100</f>
        <v>2.7901279304134583E-2</v>
      </c>
    </row>
    <row r="4" spans="1:24" x14ac:dyDescent="0.2">
      <c r="A4" s="20">
        <f>42323+(8/24)</f>
        <v>42323.333333333336</v>
      </c>
      <c r="B4" s="18">
        <v>27.7819</v>
      </c>
      <c r="C4" s="2">
        <v>35.770000000000003</v>
      </c>
      <c r="D4" s="2">
        <v>2350.6999999999998</v>
      </c>
      <c r="E4" s="18">
        <f t="shared" ref="E4:E15" si="1">(D4/C4)*35.4</f>
        <v>2326.3846798993563</v>
      </c>
      <c r="F4" s="2"/>
      <c r="G4" s="18">
        <v>2058.19</v>
      </c>
      <c r="H4" s="18">
        <f t="shared" ref="H4:H15" si="2">(G4/C4)*35.4</f>
        <v>2036.9003634330443</v>
      </c>
      <c r="I4" s="12">
        <v>1999.3712158203125</v>
      </c>
      <c r="J4" s="30">
        <v>12.904030000000001</v>
      </c>
      <c r="K4" s="31">
        <v>10.531851687986885</v>
      </c>
      <c r="L4" s="2"/>
      <c r="M4" s="15">
        <v>7.9744410514831543</v>
      </c>
      <c r="N4" s="2"/>
      <c r="O4" s="18">
        <v>200.9375</v>
      </c>
      <c r="P4" s="18">
        <f t="shared" si="0"/>
        <v>198.85902991333518</v>
      </c>
      <c r="Q4" s="18">
        <v>196.21128200000001</v>
      </c>
      <c r="R4" s="18">
        <v>191.42564060000001</v>
      </c>
      <c r="S4" s="17"/>
      <c r="T4" s="17">
        <v>2.9166690000000002</v>
      </c>
      <c r="U4" s="17">
        <f>'All Experimental Diel Data'!U20</f>
        <v>389.08989255288748</v>
      </c>
      <c r="V4">
        <f t="shared" ref="V4:V15" si="3">(0.251*(T4)^2*(U4/660)^(-0.5))/100</f>
        <v>2.7809616898254574E-2</v>
      </c>
      <c r="W4" s="17">
        <f>'All Experimental Diel Data'!W20</f>
        <v>457.11346622901192</v>
      </c>
      <c r="X4">
        <f t="shared" ref="X4:X15" si="4">(0.251*(T4)^2*(W4/660)^(-0.5))/100</f>
        <v>2.5657123992030562E-2</v>
      </c>
    </row>
    <row r="5" spans="1:24" x14ac:dyDescent="0.2">
      <c r="A5" s="20">
        <f>42323+(10/24)</f>
        <v>42323.416666666664</v>
      </c>
      <c r="B5" s="18">
        <v>28.5549</v>
      </c>
      <c r="C5" s="2">
        <v>35.76</v>
      </c>
      <c r="D5" s="2">
        <v>2325.8000000000002</v>
      </c>
      <c r="E5" s="18">
        <f t="shared" si="1"/>
        <v>2302.3859060402688</v>
      </c>
      <c r="F5" s="2"/>
      <c r="G5" s="18">
        <v>2000.62</v>
      </c>
      <c r="H5" s="18">
        <f t="shared" si="2"/>
        <v>1980.4795302013422</v>
      </c>
      <c r="I5" s="12">
        <v>1992.7376708984375</v>
      </c>
      <c r="J5" s="30">
        <v>10.964109000000001</v>
      </c>
      <c r="K5" s="31">
        <v>10.341239425259216</v>
      </c>
      <c r="L5" s="2"/>
      <c r="M5" s="15">
        <v>8.0208406448364258</v>
      </c>
      <c r="N5" s="2"/>
      <c r="O5" s="18">
        <v>240</v>
      </c>
      <c r="P5" s="18">
        <f t="shared" si="0"/>
        <v>237.58389261744966</v>
      </c>
      <c r="Q5" s="18">
        <v>193.81992600000001</v>
      </c>
      <c r="R5" s="18">
        <v>189.09261029999999</v>
      </c>
      <c r="S5" s="17"/>
      <c r="T5" s="17">
        <v>2.7777800000000004</v>
      </c>
      <c r="U5" s="17">
        <f>'All Experimental Diel Data'!U21</f>
        <v>374.77460452352727</v>
      </c>
      <c r="V5">
        <f t="shared" si="3"/>
        <v>2.5701371863696192E-2</v>
      </c>
      <c r="W5" s="17">
        <f>'All Experimental Diel Data'!W21</f>
        <v>440.36896020039376</v>
      </c>
      <c r="X5">
        <f t="shared" si="4"/>
        <v>2.3710080730799915E-2</v>
      </c>
    </row>
    <row r="6" spans="1:24" x14ac:dyDescent="0.2">
      <c r="A6" s="20">
        <f>42323+0.5</f>
        <v>42323.5</v>
      </c>
      <c r="B6" s="18">
        <v>29.3154</v>
      </c>
      <c r="C6" s="2">
        <v>35.75</v>
      </c>
      <c r="D6" s="2">
        <v>2320.98</v>
      </c>
      <c r="E6" s="18">
        <f t="shared" si="1"/>
        <v>2298.2571188811185</v>
      </c>
      <c r="F6" s="2"/>
      <c r="G6" s="18">
        <v>1971.94</v>
      </c>
      <c r="H6" s="18">
        <f t="shared" si="2"/>
        <v>1952.6342937062936</v>
      </c>
      <c r="I6" s="12">
        <v>1986.179931640625</v>
      </c>
      <c r="J6" s="30">
        <v>9.9123859999999997</v>
      </c>
      <c r="K6" s="31">
        <v>10.159784215188049</v>
      </c>
      <c r="L6" s="2"/>
      <c r="M6" s="15">
        <v>8.0480632781982422</v>
      </c>
      <c r="N6" s="2"/>
      <c r="O6" s="18">
        <v>256.875</v>
      </c>
      <c r="P6" s="18">
        <f t="shared" si="0"/>
        <v>254.36013986013984</v>
      </c>
      <c r="Q6" s="18">
        <v>191.52227500000001</v>
      </c>
      <c r="R6" s="18">
        <v>186.8510005</v>
      </c>
      <c r="S6" s="17"/>
      <c r="T6" s="17">
        <v>2.7777800000000004</v>
      </c>
      <c r="U6" s="17">
        <f>'All Experimental Diel Data'!U22</f>
        <v>361.19160952893196</v>
      </c>
      <c r="V6">
        <f t="shared" si="3"/>
        <v>2.6180175650463898E-2</v>
      </c>
      <c r="W6" s="17">
        <f>'All Experimental Diel Data'!W22</f>
        <v>424.50690687296412</v>
      </c>
      <c r="X6">
        <f t="shared" si="4"/>
        <v>2.4148991698302851E-2</v>
      </c>
    </row>
    <row r="7" spans="1:24" x14ac:dyDescent="0.2">
      <c r="A7" s="20">
        <f>42323+(16/24)</f>
        <v>42323.666666666664</v>
      </c>
      <c r="B7" s="18">
        <v>29.503299999999999</v>
      </c>
      <c r="C7" s="2">
        <v>35.76</v>
      </c>
      <c r="D7" s="2">
        <v>2309.88</v>
      </c>
      <c r="E7" s="18">
        <f t="shared" si="1"/>
        <v>2286.6261744966446</v>
      </c>
      <c r="F7" s="2"/>
      <c r="G7" s="18">
        <v>1950.36</v>
      </c>
      <c r="H7" s="18">
        <f t="shared" si="2"/>
        <v>1930.7255033557046</v>
      </c>
      <c r="I7" s="12">
        <v>1984.48095703125</v>
      </c>
      <c r="J7" s="30">
        <v>9.3915009999999999</v>
      </c>
      <c r="K7" s="31">
        <v>10.115222163451257</v>
      </c>
      <c r="L7" s="2"/>
      <c r="M7" s="15">
        <v>8.0630588531494141</v>
      </c>
      <c r="N7" s="2"/>
      <c r="O7" s="18">
        <v>263.75</v>
      </c>
      <c r="P7" s="18">
        <f t="shared" si="0"/>
        <v>261.09479865771812</v>
      </c>
      <c r="Q7" s="18">
        <v>190.94785999999999</v>
      </c>
      <c r="R7" s="18">
        <v>186.290595</v>
      </c>
      <c r="S7" s="17"/>
      <c r="T7" s="17">
        <v>2.7777800000000004</v>
      </c>
      <c r="U7" s="17">
        <f>'All Experimental Diel Data'!U23</f>
        <v>357.91169345596961</v>
      </c>
      <c r="V7">
        <f t="shared" si="3"/>
        <v>2.6299860129313547E-2</v>
      </c>
      <c r="W7" s="17">
        <f>'All Experimental Diel Data'!W23</f>
        <v>420.67964074424049</v>
      </c>
      <c r="X7">
        <f t="shared" si="4"/>
        <v>2.4258594522323415E-2</v>
      </c>
    </row>
    <row r="8" spans="1:24" x14ac:dyDescent="0.2">
      <c r="A8" s="20">
        <f>42323+(18/24)</f>
        <v>42323.75</v>
      </c>
      <c r="B8" s="18">
        <v>28.4176</v>
      </c>
      <c r="C8" s="2">
        <v>35.76</v>
      </c>
      <c r="D8" s="2">
        <v>2324.81</v>
      </c>
      <c r="E8" s="18">
        <f t="shared" si="1"/>
        <v>2301.4058724832212</v>
      </c>
      <c r="F8" s="2"/>
      <c r="G8" s="18">
        <v>1991.08</v>
      </c>
      <c r="H8" s="18">
        <f t="shared" si="2"/>
        <v>1971.0355704697986</v>
      </c>
      <c r="I8" s="12">
        <v>1993.9285888671875</v>
      </c>
      <c r="J8" s="30">
        <v>10.511736000000001</v>
      </c>
      <c r="K8" s="31">
        <v>10.374727786776434</v>
      </c>
      <c r="L8" s="2"/>
      <c r="M8" s="15">
        <v>8.0366096496582031</v>
      </c>
      <c r="N8" s="2"/>
      <c r="O8" s="18">
        <v>228.75</v>
      </c>
      <c r="P8" s="18">
        <f t="shared" si="0"/>
        <v>226.4471476510067</v>
      </c>
      <c r="Q8" s="18">
        <v>194.24268599999999</v>
      </c>
      <c r="R8" s="18">
        <v>189.50505939999999</v>
      </c>
      <c r="S8" s="17"/>
      <c r="T8" s="17">
        <v>3.0555580000000004</v>
      </c>
      <c r="U8" s="17">
        <f>'All Experimental Diel Data'!U24</f>
        <v>377.27961032556925</v>
      </c>
      <c r="V8">
        <f t="shared" si="3"/>
        <v>3.0995245850953809E-2</v>
      </c>
      <c r="W8" s="17">
        <f>'All Experimental Diel Data'!W24</f>
        <v>443.2968547330392</v>
      </c>
      <c r="X8">
        <f t="shared" si="4"/>
        <v>2.8594297276673234E-2</v>
      </c>
    </row>
    <row r="9" spans="1:24" x14ac:dyDescent="0.2">
      <c r="A9" s="20">
        <f>42323+(22/24)</f>
        <v>42323.916666666664</v>
      </c>
      <c r="B9" s="18">
        <v>27.393699999999999</v>
      </c>
      <c r="C9" s="2">
        <v>35.75</v>
      </c>
      <c r="D9" s="2">
        <v>2353.17</v>
      </c>
      <c r="E9" s="18">
        <f t="shared" si="1"/>
        <v>2330.1319720279721</v>
      </c>
      <c r="F9" s="2"/>
      <c r="G9" s="18">
        <v>2090.2600000000002</v>
      </c>
      <c r="H9" s="18">
        <f t="shared" si="2"/>
        <v>2069.7959160839164</v>
      </c>
      <c r="I9" s="12">
        <v>2002.8345947265625</v>
      </c>
      <c r="J9" s="30">
        <v>14.836183</v>
      </c>
      <c r="K9" s="31">
        <v>10.631353461475461</v>
      </c>
      <c r="L9" s="2"/>
      <c r="M9" s="15">
        <v>7.928433895111084</v>
      </c>
      <c r="N9" s="2"/>
      <c r="O9" s="18">
        <v>170.625</v>
      </c>
      <c r="P9" s="18">
        <f t="shared" si="0"/>
        <v>168.95454545454544</v>
      </c>
      <c r="Q9" s="18">
        <v>197.46536699999999</v>
      </c>
      <c r="R9" s="18">
        <v>192.6491389</v>
      </c>
      <c r="S9" s="17"/>
      <c r="T9" s="17">
        <v>3.6111140000000002</v>
      </c>
      <c r="U9" s="17">
        <f>'All Experimental Diel Data'!U25</f>
        <v>396.47552709617696</v>
      </c>
      <c r="V9">
        <f t="shared" si="3"/>
        <v>4.2229884597660361E-2</v>
      </c>
      <c r="W9" s="17">
        <f>'All Experimental Diel Data'!W25</f>
        <v>465.76495323574034</v>
      </c>
      <c r="X9">
        <f t="shared" si="4"/>
        <v>3.8962308781060336E-2</v>
      </c>
    </row>
    <row r="10" spans="1:24" x14ac:dyDescent="0.2">
      <c r="A10" s="20">
        <f>42324</f>
        <v>42324</v>
      </c>
      <c r="B10" s="18">
        <v>27.312100000000001</v>
      </c>
      <c r="C10" s="2">
        <v>35.75</v>
      </c>
      <c r="D10" s="2">
        <v>2355.86</v>
      </c>
      <c r="E10" s="18">
        <f t="shared" si="1"/>
        <v>2332.7956363636367</v>
      </c>
      <c r="F10" s="2"/>
      <c r="G10" s="18">
        <v>2095.7600000000002</v>
      </c>
      <c r="H10" s="18">
        <f t="shared" si="2"/>
        <v>2075.2420699300701</v>
      </c>
      <c r="I10" s="12">
        <v>2003.5369873046875</v>
      </c>
      <c r="J10" s="30">
        <v>15.059975</v>
      </c>
      <c r="K10" s="31">
        <v>10.652255214851307</v>
      </c>
      <c r="L10" s="2"/>
      <c r="M10" s="15">
        <v>7.924189567565918</v>
      </c>
      <c r="N10" s="2"/>
      <c r="O10" s="18">
        <v>174.375</v>
      </c>
      <c r="P10" s="18">
        <f t="shared" si="0"/>
        <v>172.66783216783216</v>
      </c>
      <c r="Q10" s="18">
        <v>197.725674</v>
      </c>
      <c r="R10" s="18">
        <v>192.90309669999999</v>
      </c>
      <c r="S10" s="17"/>
      <c r="T10" s="17">
        <v>3.6111140000000002</v>
      </c>
      <c r="U10" s="17">
        <f>'All Experimental Diel Data'!U26</f>
        <v>398.04495689555142</v>
      </c>
      <c r="V10">
        <f t="shared" si="3"/>
        <v>4.214654941515248E-2</v>
      </c>
      <c r="W10" s="17">
        <f>'All Experimental Diel Data'!W26</f>
        <v>467.60452000766537</v>
      </c>
      <c r="X10">
        <f t="shared" si="4"/>
        <v>3.8885593954665232E-2</v>
      </c>
    </row>
    <row r="11" spans="1:24" x14ac:dyDescent="0.2">
      <c r="A11" s="20">
        <f>42324+(2/24)</f>
        <v>42324.083333333336</v>
      </c>
      <c r="B11" s="18">
        <v>27.257000000000001</v>
      </c>
      <c r="C11" s="2">
        <v>35.75</v>
      </c>
      <c r="D11" s="2">
        <v>2360.02</v>
      </c>
      <c r="E11" s="18">
        <f t="shared" si="1"/>
        <v>2336.9149090909091</v>
      </c>
      <c r="F11" s="2"/>
      <c r="G11" s="18">
        <v>2104.75</v>
      </c>
      <c r="H11" s="18">
        <f t="shared" si="2"/>
        <v>2084.1440559440557</v>
      </c>
      <c r="I11" s="12">
        <v>2004.0111083984375</v>
      </c>
      <c r="J11" s="30">
        <v>15.467644</v>
      </c>
      <c r="K11" s="31">
        <v>10.666410705276967</v>
      </c>
      <c r="L11" s="2"/>
      <c r="M11" s="15">
        <v>7.9156641960144043</v>
      </c>
      <c r="N11" s="2"/>
      <c r="O11" s="18">
        <v>172.5</v>
      </c>
      <c r="P11" s="18">
        <f t="shared" si="0"/>
        <v>170.8111888111888</v>
      </c>
      <c r="Q11" s="18">
        <v>197.90182300000001</v>
      </c>
      <c r="R11" s="18">
        <v>193.0749495</v>
      </c>
      <c r="S11" s="17"/>
      <c r="T11" s="17">
        <v>3.7500030000000004</v>
      </c>
      <c r="U11" s="17">
        <f>'All Experimental Diel Data'!U27</f>
        <v>399.10806509813324</v>
      </c>
      <c r="V11">
        <f t="shared" si="3"/>
        <v>4.5390364216149746E-2</v>
      </c>
      <c r="W11" s="17">
        <f>'All Experimental Diel Data'!W27</f>
        <v>468.85084484254151</v>
      </c>
      <c r="X11">
        <f t="shared" si="4"/>
        <v>4.1878543426802375E-2</v>
      </c>
    </row>
    <row r="12" spans="1:24" x14ac:dyDescent="0.2">
      <c r="A12" s="20">
        <f>42324+(4/24)</f>
        <v>42324.166666666664</v>
      </c>
      <c r="B12" s="18">
        <v>27.1892</v>
      </c>
      <c r="C12" s="2">
        <v>35.75</v>
      </c>
      <c r="D12" s="2">
        <v>2359.56</v>
      </c>
      <c r="E12" s="18">
        <f t="shared" si="1"/>
        <v>2336.4594125874128</v>
      </c>
      <c r="F12" s="2"/>
      <c r="G12" s="18">
        <v>2116.14</v>
      </c>
      <c r="H12" s="18">
        <f t="shared" si="2"/>
        <v>2095.4225454545453</v>
      </c>
      <c r="I12" s="12">
        <v>2004.5943603515625</v>
      </c>
      <c r="J12" s="30">
        <v>16.399994</v>
      </c>
      <c r="K12" s="31">
        <v>10.683875646559432</v>
      </c>
      <c r="L12" s="2"/>
      <c r="M12" s="15">
        <v>7.894866943359375</v>
      </c>
      <c r="N12" s="2"/>
      <c r="O12" s="18">
        <v>161.875</v>
      </c>
      <c r="P12" s="18">
        <f t="shared" si="0"/>
        <v>160.29020979020979</v>
      </c>
      <c r="Q12" s="18">
        <v>198.11899299999999</v>
      </c>
      <c r="R12" s="18">
        <v>193.28682230000001</v>
      </c>
      <c r="S12" s="17"/>
      <c r="T12" s="17">
        <v>3.8888920000000002</v>
      </c>
      <c r="U12" s="17">
        <f>'All Experimental Diel Data'!U28</f>
        <v>400.41993644915442</v>
      </c>
      <c r="V12">
        <f t="shared" si="3"/>
        <v>4.8734847089497213E-2</v>
      </c>
      <c r="W12" s="17">
        <f>'All Experimental Diel Data'!W28</f>
        <v>470.38906103865526</v>
      </c>
      <c r="X12">
        <f t="shared" si="4"/>
        <v>4.4964404610395185E-2</v>
      </c>
    </row>
    <row r="13" spans="1:24" x14ac:dyDescent="0.2">
      <c r="A13" s="20">
        <f>42324+(6/24)</f>
        <v>42324.25</v>
      </c>
      <c r="B13" s="18">
        <v>27.251799999999999</v>
      </c>
      <c r="C13" s="2">
        <v>35.74</v>
      </c>
      <c r="D13" s="2">
        <v>2357.86</v>
      </c>
      <c r="E13" s="18">
        <f t="shared" si="1"/>
        <v>2335.4293228875208</v>
      </c>
      <c r="F13" s="2"/>
      <c r="G13" s="18">
        <v>2092.7600000000002</v>
      </c>
      <c r="H13" s="18">
        <f t="shared" si="2"/>
        <v>2072.8512590934529</v>
      </c>
      <c r="I13" s="12">
        <v>2004.113525390625</v>
      </c>
      <c r="J13" s="30">
        <v>14.699607</v>
      </c>
      <c r="K13" s="31">
        <v>10.668292223098069</v>
      </c>
      <c r="L13" s="2"/>
      <c r="M13" s="15">
        <v>7.933873176574707</v>
      </c>
      <c r="N13" s="2"/>
      <c r="O13" s="18">
        <v>178.4375</v>
      </c>
      <c r="P13" s="18">
        <f t="shared" si="0"/>
        <v>176.73999720201454</v>
      </c>
      <c r="Q13" s="18">
        <v>197.93101300000001</v>
      </c>
      <c r="R13" s="18">
        <v>193.10342739999999</v>
      </c>
      <c r="S13" s="17"/>
      <c r="T13" s="17">
        <v>3.8888920000000002</v>
      </c>
      <c r="U13" s="17">
        <f>'All Experimental Diel Data'!U29</f>
        <v>399.20853484870781</v>
      </c>
      <c r="V13">
        <f t="shared" si="3"/>
        <v>4.880873422743795E-2</v>
      </c>
      <c r="W13" s="17">
        <f>'All Experimental Diel Data'!W29</f>
        <v>468.96863921541797</v>
      </c>
      <c r="X13">
        <f t="shared" si="4"/>
        <v>4.5032447681771004E-2</v>
      </c>
    </row>
    <row r="14" spans="1:24" x14ac:dyDescent="0.2">
      <c r="A14" s="20">
        <f>42324+(8/24)</f>
        <v>42324.333333333336</v>
      </c>
      <c r="B14" s="18">
        <v>27.548500000000001</v>
      </c>
      <c r="C14" s="2">
        <v>35.74</v>
      </c>
      <c r="D14" s="2">
        <v>2343.12</v>
      </c>
      <c r="E14" s="18">
        <f t="shared" si="1"/>
        <v>2320.8295467263565</v>
      </c>
      <c r="F14" s="2"/>
      <c r="G14" s="18">
        <v>2064.7600000000002</v>
      </c>
      <c r="H14" s="18">
        <f t="shared" si="2"/>
        <v>2045.1176273083379</v>
      </c>
      <c r="I14" s="12">
        <v>2001.5587158203125</v>
      </c>
      <c r="J14" s="30">
        <v>13.666397</v>
      </c>
      <c r="K14" s="31">
        <v>10.592442597319279</v>
      </c>
      <c r="L14" s="2"/>
      <c r="M14" s="15">
        <v>7.9550347328186035</v>
      </c>
      <c r="N14" s="2"/>
      <c r="O14" s="18">
        <v>197.5</v>
      </c>
      <c r="P14" s="18">
        <f t="shared" si="0"/>
        <v>195.62115277000558</v>
      </c>
      <c r="Q14" s="18">
        <v>196.98584600000001</v>
      </c>
      <c r="R14" s="18">
        <v>192.18131289999999</v>
      </c>
      <c r="S14" s="17"/>
      <c r="T14" s="17">
        <v>3.8888920000000002</v>
      </c>
      <c r="U14" s="17">
        <f>'All Experimental Diel Data'!U30</f>
        <v>393.51447171866141</v>
      </c>
      <c r="V14">
        <f t="shared" si="3"/>
        <v>4.9160591507023101E-2</v>
      </c>
      <c r="W14" s="17">
        <f>'All Experimental Diel Data'!W30</f>
        <v>462.29532698256139</v>
      </c>
      <c r="X14">
        <f t="shared" si="4"/>
        <v>4.5356308670167031E-2</v>
      </c>
    </row>
    <row r="15" spans="1:24" x14ac:dyDescent="0.2">
      <c r="A15" s="20">
        <f>42324+(10/24)</f>
        <v>42324.416666666664</v>
      </c>
      <c r="B15" s="18">
        <v>28.464200000000002</v>
      </c>
      <c r="C15" s="2">
        <v>35.74</v>
      </c>
      <c r="D15" s="2">
        <v>2322.6</v>
      </c>
      <c r="E15" s="18">
        <f t="shared" si="1"/>
        <v>2300.5047565752657</v>
      </c>
      <c r="F15" s="2"/>
      <c r="G15" s="18">
        <v>1998.67</v>
      </c>
      <c r="H15" s="18">
        <f t="shared" si="2"/>
        <v>1979.6563514269726</v>
      </c>
      <c r="I15" s="12">
        <v>1993.6414794921875</v>
      </c>
      <c r="J15" s="30">
        <v>10.975228</v>
      </c>
      <c r="K15" s="31">
        <v>10.364385115915622</v>
      </c>
      <c r="L15" s="2"/>
      <c r="M15" s="15">
        <v>8.0209197998046875</v>
      </c>
      <c r="N15" s="2"/>
      <c r="O15" s="18">
        <v>237.5</v>
      </c>
      <c r="P15" s="18">
        <f t="shared" si="0"/>
        <v>235.24062674874088</v>
      </c>
      <c r="Q15" s="18">
        <v>194.12342200000001</v>
      </c>
      <c r="R15" s="18">
        <v>189.38870399999999</v>
      </c>
      <c r="S15" s="17"/>
      <c r="T15" s="17">
        <v>3.8888920000000002</v>
      </c>
      <c r="U15" s="17">
        <f>'All Experimental Diel Data'!U31</f>
        <v>376.42758950941243</v>
      </c>
      <c r="V15">
        <f t="shared" si="3"/>
        <v>5.0263963415743164E-2</v>
      </c>
      <c r="W15" s="17">
        <f>'All Experimental Diel Data'!W31</f>
        <v>442.30089865357445</v>
      </c>
      <c r="X15">
        <f t="shared" si="4"/>
        <v>4.6370154515914315E-2</v>
      </c>
    </row>
    <row r="17" spans="1:24" x14ac:dyDescent="0.2">
      <c r="A17" s="21" t="s">
        <v>85</v>
      </c>
    </row>
    <row r="18" spans="1:24" x14ac:dyDescent="0.2">
      <c r="A18" t="s">
        <v>71</v>
      </c>
      <c r="B18" t="s">
        <v>72</v>
      </c>
      <c r="C18" t="s">
        <v>21</v>
      </c>
      <c r="D18" t="s">
        <v>81</v>
      </c>
      <c r="E18" t="s">
        <v>73</v>
      </c>
      <c r="G18" t="s">
        <v>82</v>
      </c>
      <c r="H18" t="s">
        <v>74</v>
      </c>
      <c r="I18" t="s">
        <v>75</v>
      </c>
      <c r="J18" t="s">
        <v>76</v>
      </c>
      <c r="K18" t="s">
        <v>77</v>
      </c>
      <c r="M18" t="s">
        <v>78</v>
      </c>
      <c r="O18" t="s">
        <v>83</v>
      </c>
      <c r="P18" s="2" t="s">
        <v>300</v>
      </c>
      <c r="Q18" t="s">
        <v>79</v>
      </c>
      <c r="R18" t="s">
        <v>80</v>
      </c>
      <c r="T18" t="s">
        <v>68</v>
      </c>
      <c r="U18" s="2" t="s">
        <v>310</v>
      </c>
      <c r="V18" s="2" t="s">
        <v>312</v>
      </c>
      <c r="W18" s="2" t="s">
        <v>311</v>
      </c>
      <c r="X18" s="2" t="s">
        <v>313</v>
      </c>
    </row>
    <row r="19" spans="1:24" x14ac:dyDescent="0.2">
      <c r="A19" s="20">
        <v>42300.100694444445</v>
      </c>
      <c r="B19">
        <v>26.53</v>
      </c>
      <c r="C19" s="17">
        <v>36.1556</v>
      </c>
      <c r="D19">
        <v>2336.42</v>
      </c>
      <c r="E19" s="18">
        <f>(D19/C19)*35.4</f>
        <v>2287.5921848897542</v>
      </c>
      <c r="G19" s="17">
        <v>1900.75</v>
      </c>
      <c r="H19" s="18">
        <f>(G19/C19)*35.4</f>
        <v>1861.0270608149222</v>
      </c>
      <c r="I19" s="12">
        <v>2007.9312744140625</v>
      </c>
      <c r="J19" s="31">
        <v>6.6815275267483303</v>
      </c>
      <c r="K19" s="31">
        <v>10.833808273045957</v>
      </c>
      <c r="M19" s="15">
        <v>8.2074794769287109</v>
      </c>
      <c r="O19" s="17">
        <v>178.96</v>
      </c>
      <c r="P19" s="18">
        <f t="shared" ref="P19:P32" si="5">(O19/C19)*35.4</f>
        <v>175.21999358329001</v>
      </c>
      <c r="Q19" s="17">
        <v>199.738119495288</v>
      </c>
      <c r="R19" s="17">
        <f>Q19/1.025</f>
        <v>194.86645804418345</v>
      </c>
      <c r="S19" s="17"/>
      <c r="T19" s="17">
        <v>5.3644800000000004</v>
      </c>
      <c r="U19" s="17">
        <f>'All Experimental Diel Data'!U35</f>
        <v>413.39219908023199</v>
      </c>
      <c r="V19">
        <f>(0.251*(T19)^2*(U19/660)^(-0.5))/100</f>
        <v>9.1268268571035108E-2</v>
      </c>
      <c r="W19" s="17">
        <f>'All Experimental Diel Data'!W35</f>
        <v>485.61468412278901</v>
      </c>
      <c r="X19">
        <f>(0.251*(T19)^2*(W19/660)^(-0.5))/100</f>
        <v>8.420832812393883E-2</v>
      </c>
    </row>
    <row r="20" spans="1:24" x14ac:dyDescent="0.2">
      <c r="A20" s="20">
        <v>42300.260416666664</v>
      </c>
      <c r="B20">
        <v>26.16</v>
      </c>
      <c r="C20" s="17">
        <v>36.160299999999999</v>
      </c>
      <c r="D20">
        <v>2379.6</v>
      </c>
      <c r="E20" s="18">
        <f t="shared" ref="E20:E32" si="6">(D20/C20)*35.4</f>
        <v>2329.5669560263605</v>
      </c>
      <c r="G20" s="17">
        <v>2051.9499999999998</v>
      </c>
      <c r="H20" s="18">
        <f t="shared" ref="H20:H32" si="7">(G20/C20)*35.4</f>
        <v>2008.8060663213521</v>
      </c>
      <c r="I20" s="12">
        <v>2011.078369140625</v>
      </c>
      <c r="J20" s="31">
        <v>11.059618116988261</v>
      </c>
      <c r="K20" s="31">
        <v>10.932284338086886</v>
      </c>
      <c r="M20" s="15">
        <v>8.0466423034667969</v>
      </c>
      <c r="O20" s="17">
        <v>187.34</v>
      </c>
      <c r="P20" s="18">
        <f t="shared" si="5"/>
        <v>183.40102266850664</v>
      </c>
      <c r="Q20" s="17">
        <v>200.94631974997199</v>
      </c>
      <c r="R20" s="17">
        <f t="shared" ref="R20:R32" si="8">Q20/1.025</f>
        <v>196.04518999997268</v>
      </c>
      <c r="S20" s="17"/>
      <c r="T20" s="17">
        <v>4.91744</v>
      </c>
      <c r="U20" s="17">
        <f>'All Experimental Diel Data'!U36</f>
        <v>420.84976086100829</v>
      </c>
      <c r="V20">
        <f t="shared" ref="V20:V32" si="9">(0.251*(T20)^2*(U20/660)^(-0.5))/100</f>
        <v>7.6008171687422424E-2</v>
      </c>
      <c r="W20" s="17">
        <f>'All Experimental Diel Data'!W36</f>
        <v>494.37989974376427</v>
      </c>
      <c r="X20">
        <f t="shared" ref="X20:X32" si="10">(0.251*(T20)^2*(W20/660)^(-0.5))/100</f>
        <v>7.0128318523338687E-2</v>
      </c>
    </row>
    <row r="21" spans="1:24" x14ac:dyDescent="0.2">
      <c r="A21" s="20">
        <v>42300.333333333336</v>
      </c>
      <c r="B21">
        <v>26.56</v>
      </c>
      <c r="C21" s="17">
        <v>36.184199999999997</v>
      </c>
      <c r="D21">
        <v>2385.9499999999998</v>
      </c>
      <c r="E21" s="18">
        <f t="shared" si="6"/>
        <v>2334.2406354154577</v>
      </c>
      <c r="G21" s="17">
        <v>2037.9099999999999</v>
      </c>
      <c r="H21" s="18">
        <f t="shared" si="7"/>
        <v>1993.743512361749</v>
      </c>
      <c r="I21" s="12">
        <v>2007.509521484375</v>
      </c>
      <c r="J21" s="31">
        <v>10.217888079467469</v>
      </c>
      <c r="K21" s="31">
        <v>10.824283507235906</v>
      </c>
      <c r="M21" s="15">
        <v>8.0712156295776367</v>
      </c>
      <c r="O21" s="17">
        <v>200.71</v>
      </c>
      <c r="P21" s="18">
        <f t="shared" si="5"/>
        <v>196.36012403203611</v>
      </c>
      <c r="Q21" s="17">
        <v>199.60392923672899</v>
      </c>
      <c r="R21" s="17">
        <f t="shared" si="8"/>
        <v>194.73554071876001</v>
      </c>
      <c r="S21" s="17"/>
      <c r="T21" s="17">
        <v>4.4703999999999997</v>
      </c>
      <c r="U21" s="17">
        <f>'All Experimental Diel Data'!U37</f>
        <v>412.7931632449625</v>
      </c>
      <c r="V21">
        <f t="shared" si="9"/>
        <v>6.3426713720210817E-2</v>
      </c>
      <c r="W21" s="17">
        <f>'All Experimental Diel Data'!W37</f>
        <v>484.91099077705758</v>
      </c>
      <c r="X21">
        <f t="shared" si="10"/>
        <v>5.8520421328024652E-2</v>
      </c>
    </row>
    <row r="22" spans="1:24" x14ac:dyDescent="0.2">
      <c r="A22" s="20">
        <v>42300.416666666664</v>
      </c>
      <c r="B22">
        <v>27.18</v>
      </c>
      <c r="C22" s="17">
        <v>36.194000000000003</v>
      </c>
      <c r="D22">
        <v>2373.6799999999998</v>
      </c>
      <c r="E22" s="18">
        <f t="shared" si="6"/>
        <v>2321.6077802950758</v>
      </c>
      <c r="G22" s="17">
        <v>2003.845</v>
      </c>
      <c r="H22" s="18">
        <f t="shared" si="7"/>
        <v>1959.8859755760623</v>
      </c>
      <c r="I22" s="12">
        <v>2002.1142578125</v>
      </c>
      <c r="J22" s="31">
        <v>9.2723825295105105</v>
      </c>
      <c r="K22" s="31">
        <v>10.662062176407076</v>
      </c>
      <c r="M22" s="15">
        <v>8.0967721939086914</v>
      </c>
      <c r="O22" s="17">
        <v>221.68</v>
      </c>
      <c r="P22" s="18">
        <f t="shared" si="5"/>
        <v>216.81693098303583</v>
      </c>
      <c r="Q22" s="17">
        <v>197.591161283551</v>
      </c>
      <c r="R22" s="17">
        <f t="shared" si="8"/>
        <v>192.77186466687905</v>
      </c>
      <c r="S22" s="17"/>
      <c r="T22" s="17">
        <v>3.5763199999999999</v>
      </c>
      <c r="U22" s="17">
        <f>'All Experimental Diel Data'!U38</f>
        <v>400.5982660473714</v>
      </c>
      <c r="V22">
        <f t="shared" si="9"/>
        <v>4.120632651555968E-2</v>
      </c>
      <c r="W22" s="17">
        <f>'All Experimental Diel Data'!W38</f>
        <v>470.59818075087742</v>
      </c>
      <c r="X22">
        <f t="shared" si="10"/>
        <v>3.8018353993463261E-2</v>
      </c>
    </row>
    <row r="23" spans="1:24" x14ac:dyDescent="0.2">
      <c r="A23" s="20">
        <v>42300.5</v>
      </c>
      <c r="B23">
        <v>27.62</v>
      </c>
      <c r="C23" s="17">
        <v>36.191000000000003</v>
      </c>
      <c r="D23">
        <v>2344.02</v>
      </c>
      <c r="E23" s="18">
        <f t="shared" si="6"/>
        <v>2292.788483324583</v>
      </c>
      <c r="G23" s="17">
        <v>1982.145</v>
      </c>
      <c r="H23" s="18">
        <f t="shared" si="7"/>
        <v>1938.822718355392</v>
      </c>
      <c r="I23" s="12">
        <v>1998.32861328125</v>
      </c>
      <c r="J23" s="31">
        <v>9.4031468963436726</v>
      </c>
      <c r="K23" s="31">
        <v>10.55009504166574</v>
      </c>
      <c r="M23" s="15">
        <v>8.0832967758178711</v>
      </c>
      <c r="O23" s="17">
        <v>229.12</v>
      </c>
      <c r="P23" s="18">
        <f t="shared" si="5"/>
        <v>224.11229311154705</v>
      </c>
      <c r="Q23" s="17">
        <v>196.19885976542099</v>
      </c>
      <c r="R23" s="17">
        <f t="shared" si="8"/>
        <v>191.41352172236196</v>
      </c>
      <c r="S23" s="17"/>
      <c r="T23" s="17">
        <v>3.1292800000000001</v>
      </c>
      <c r="U23" s="17">
        <f>'All Experimental Diel Data'!U39</f>
        <v>392.15395199078773</v>
      </c>
      <c r="V23">
        <f t="shared" si="9"/>
        <v>3.1886455088909971E-2</v>
      </c>
      <c r="W23" s="17">
        <f>'All Experimental Diel Data'!W39</f>
        <v>460.70161282335465</v>
      </c>
      <c r="X23">
        <f t="shared" si="10"/>
        <v>2.9418780901385441E-2</v>
      </c>
    </row>
    <row r="24" spans="1:24" x14ac:dyDescent="0.2">
      <c r="A24" s="20">
        <v>42300.583333333336</v>
      </c>
      <c r="B24">
        <v>27.7</v>
      </c>
      <c r="C24" s="17">
        <v>36.185200000000002</v>
      </c>
      <c r="D24">
        <v>2364.16</v>
      </c>
      <c r="E24" s="18">
        <f t="shared" si="6"/>
        <v>2312.8589589113776</v>
      </c>
      <c r="G24" s="17">
        <v>1985.9050000000002</v>
      </c>
      <c r="H24" s="18">
        <f t="shared" si="7"/>
        <v>1942.8118954710765</v>
      </c>
      <c r="I24" s="12">
        <v>1997.669921875</v>
      </c>
      <c r="J24" s="31">
        <v>8.9313633874982603</v>
      </c>
      <c r="K24" s="31">
        <v>10.530246521086012</v>
      </c>
      <c r="M24" s="15">
        <v>8.1031932830810547</v>
      </c>
      <c r="O24" s="17">
        <v>226.57</v>
      </c>
      <c r="P24" s="18">
        <f t="shared" si="5"/>
        <v>221.6535489647701</v>
      </c>
      <c r="Q24" s="17">
        <v>195.95427844185201</v>
      </c>
      <c r="R24" s="17">
        <f t="shared" si="8"/>
        <v>191.17490579692881</v>
      </c>
      <c r="S24" s="17"/>
      <c r="T24" s="17">
        <v>2.9057599999999999</v>
      </c>
      <c r="U24" s="17">
        <f>'All Experimental Diel Data'!U40</f>
        <v>390.63702651257051</v>
      </c>
      <c r="V24">
        <f t="shared" si="9"/>
        <v>2.7547263844718239E-2</v>
      </c>
      <c r="W24" s="17">
        <f>'All Experimental Diel Data'!W40</f>
        <v>458.92503833654996</v>
      </c>
      <c r="X24">
        <f t="shared" si="10"/>
        <v>2.5415244670239982E-2</v>
      </c>
    </row>
    <row r="25" spans="1:24" x14ac:dyDescent="0.2">
      <c r="A25" s="20">
        <v>42300.666666666664</v>
      </c>
      <c r="B25">
        <v>27.4</v>
      </c>
      <c r="C25" s="17">
        <v>36.197000000000003</v>
      </c>
      <c r="D25">
        <v>2349.4899999999998</v>
      </c>
      <c r="E25" s="18">
        <f t="shared" si="6"/>
        <v>2297.7579909937281</v>
      </c>
      <c r="G25" s="17">
        <v>1983.105</v>
      </c>
      <c r="H25" s="18">
        <f t="shared" si="7"/>
        <v>1939.4402022267036</v>
      </c>
      <c r="I25" s="12">
        <v>2000.19677734375</v>
      </c>
      <c r="J25" s="31">
        <v>9.2353411569319306</v>
      </c>
      <c r="K25" s="31">
        <v>10.605569397012516</v>
      </c>
      <c r="M25" s="15">
        <v>8.0923471450805664</v>
      </c>
      <c r="O25" s="17">
        <v>221.94</v>
      </c>
      <c r="P25" s="18">
        <f t="shared" si="5"/>
        <v>217.05323645605986</v>
      </c>
      <c r="Q25" s="17">
        <v>196.88699594090599</v>
      </c>
      <c r="R25" s="17">
        <f t="shared" si="8"/>
        <v>192.08487408868879</v>
      </c>
      <c r="S25" s="17"/>
      <c r="T25" s="17">
        <v>2.9057599999999999</v>
      </c>
      <c r="U25" s="17">
        <f>'All Experimental Diel Data'!U41</f>
        <v>396.35460425552026</v>
      </c>
      <c r="V25">
        <f t="shared" si="9"/>
        <v>2.7347851792026381E-2</v>
      </c>
      <c r="W25" s="17">
        <f>'All Experimental Diel Data'!W41</f>
        <v>465.62323340879942</v>
      </c>
      <c r="X25">
        <f t="shared" si="10"/>
        <v>2.5231777728675769E-2</v>
      </c>
    </row>
    <row r="26" spans="1:24" x14ac:dyDescent="0.2">
      <c r="A26" s="20">
        <v>42300.739583333336</v>
      </c>
      <c r="B26">
        <v>27.02</v>
      </c>
      <c r="C26" s="17">
        <v>36.177799999999998</v>
      </c>
      <c r="D26">
        <v>2348.7199999999998</v>
      </c>
      <c r="E26" s="18">
        <f t="shared" si="6"/>
        <v>2298.2239937199056</v>
      </c>
      <c r="G26" s="17">
        <v>1992.54</v>
      </c>
      <c r="H26" s="18">
        <f t="shared" si="7"/>
        <v>1949.7016402324077</v>
      </c>
      <c r="I26" s="12">
        <v>2003.5875244140625</v>
      </c>
      <c r="J26" s="31">
        <v>9.5926048545135885</v>
      </c>
      <c r="K26" s="31">
        <v>10.704255329112073</v>
      </c>
      <c r="M26" s="15">
        <v>8.0829381942749023</v>
      </c>
      <c r="O26" s="17">
        <v>211.03</v>
      </c>
      <c r="P26" s="18">
        <f t="shared" si="5"/>
        <v>206.4929874121699</v>
      </c>
      <c r="Q26" s="17">
        <v>198.12399993025701</v>
      </c>
      <c r="R26" s="17">
        <f t="shared" si="8"/>
        <v>193.29170724903125</v>
      </c>
      <c r="S26" s="17"/>
      <c r="T26" s="17">
        <v>3.1292800000000001</v>
      </c>
      <c r="U26" s="17">
        <f>'All Experimental Diel Data'!U42</f>
        <v>403.71183420712339</v>
      </c>
      <c r="V26">
        <f t="shared" si="9"/>
        <v>3.1426701319081228E-2</v>
      </c>
      <c r="W26" s="17">
        <f>'All Experimental Diel Data'!W42</f>
        <v>474.25017595041669</v>
      </c>
      <c r="X26">
        <f t="shared" si="10"/>
        <v>2.8995512395401598E-2</v>
      </c>
    </row>
    <row r="27" spans="1:24" x14ac:dyDescent="0.2">
      <c r="A27" s="20">
        <v>42300.916666666664</v>
      </c>
      <c r="B27">
        <v>26.19</v>
      </c>
      <c r="C27" s="17">
        <v>35.829000000000001</v>
      </c>
      <c r="D27">
        <v>2350.8200000000002</v>
      </c>
      <c r="E27" s="18">
        <f t="shared" si="6"/>
        <v>2322.6723603784644</v>
      </c>
      <c r="G27" s="17">
        <v>2043.855</v>
      </c>
      <c r="H27" s="18">
        <f t="shared" si="7"/>
        <v>2019.3828183873397</v>
      </c>
      <c r="I27" s="12">
        <v>2012.7080078125</v>
      </c>
      <c r="J27" s="31">
        <v>11.784333322789001</v>
      </c>
      <c r="K27" s="31">
        <v>10.942868458633246</v>
      </c>
      <c r="M27" s="15">
        <v>8.0212059020996094</v>
      </c>
      <c r="O27" s="17">
        <v>185.6</v>
      </c>
      <c r="P27" s="18">
        <f t="shared" si="5"/>
        <v>183.37771079293307</v>
      </c>
      <c r="Q27" s="17">
        <v>201.27266108536401</v>
      </c>
      <c r="R27" s="17">
        <f t="shared" si="8"/>
        <v>196.36357179059905</v>
      </c>
      <c r="S27" s="17"/>
      <c r="T27" s="17">
        <v>4.4703999999999997</v>
      </c>
      <c r="U27" s="17">
        <f>'All Experimental Diel Data'!U43</f>
        <v>420.24026735549762</v>
      </c>
      <c r="V27">
        <f t="shared" si="9"/>
        <v>6.2862207243451346E-2</v>
      </c>
      <c r="W27" s="17">
        <f>'All Experimental Diel Data'!W43</f>
        <v>493.66320901440992</v>
      </c>
      <c r="X27">
        <f t="shared" si="10"/>
        <v>5.7999343414252634E-2</v>
      </c>
    </row>
    <row r="28" spans="1:24" x14ac:dyDescent="0.2">
      <c r="A28" s="20">
        <v>42301.00277777778</v>
      </c>
      <c r="B28">
        <v>26.13</v>
      </c>
      <c r="C28" s="17">
        <v>35.717399999999998</v>
      </c>
      <c r="D28">
        <v>2348.9699999999998</v>
      </c>
      <c r="E28" s="18">
        <f t="shared" si="6"/>
        <v>2328.096054024089</v>
      </c>
      <c r="G28" s="17">
        <v>2039.155</v>
      </c>
      <c r="H28" s="18">
        <f t="shared" si="7"/>
        <v>2021.0342018176016</v>
      </c>
      <c r="I28" s="12">
        <v>2013.8548583984375</v>
      </c>
      <c r="J28" s="31">
        <v>11.571991728154826</v>
      </c>
      <c r="K28" s="31">
        <v>10.965349152871045</v>
      </c>
      <c r="M28" s="15">
        <v>8.0284481048583984</v>
      </c>
      <c r="O28" s="17">
        <v>183.13</v>
      </c>
      <c r="P28" s="18">
        <f t="shared" si="5"/>
        <v>181.50262897075376</v>
      </c>
      <c r="Q28" s="17">
        <v>201.61498321372699</v>
      </c>
      <c r="R28" s="17">
        <f t="shared" si="8"/>
        <v>196.69754459875804</v>
      </c>
      <c r="S28" s="17"/>
      <c r="T28" s="17">
        <v>4.0233600000000003</v>
      </c>
      <c r="U28" s="17">
        <f>'All Experimental Diel Data'!U44</f>
        <v>421.46011393646438</v>
      </c>
      <c r="V28">
        <f t="shared" si="9"/>
        <v>5.0844647045551285E-2</v>
      </c>
      <c r="W28" s="17">
        <f>'All Experimental Diel Data'!W44</f>
        <v>495.09765820778307</v>
      </c>
      <c r="X28">
        <f t="shared" si="10"/>
        <v>4.6911361861620128E-2</v>
      </c>
    </row>
    <row r="29" spans="1:24" x14ac:dyDescent="0.2">
      <c r="A29" s="20">
        <v>42301.086111111108</v>
      </c>
      <c r="B29">
        <v>26.11</v>
      </c>
      <c r="C29" s="17">
        <v>35.916499999999999</v>
      </c>
      <c r="D29">
        <v>2360.96</v>
      </c>
      <c r="E29" s="18">
        <f t="shared" si="6"/>
        <v>2327.0080325198728</v>
      </c>
      <c r="G29" s="17">
        <v>2065.23</v>
      </c>
      <c r="H29" s="18">
        <f t="shared" si="7"/>
        <v>2035.5308006069633</v>
      </c>
      <c r="I29" s="12">
        <v>2012.89404296875</v>
      </c>
      <c r="J29" s="31">
        <v>12.542299624690012</v>
      </c>
      <c r="K29" s="31">
        <v>10.959507289281166</v>
      </c>
      <c r="M29" s="15">
        <v>8.0010442733764648</v>
      </c>
      <c r="O29" s="17">
        <v>179.91</v>
      </c>
      <c r="P29" s="18">
        <f t="shared" si="5"/>
        <v>177.32279036097614</v>
      </c>
      <c r="Q29" s="17">
        <v>201.42498342744699</v>
      </c>
      <c r="R29" s="17">
        <f t="shared" si="8"/>
        <v>196.51217895360685</v>
      </c>
      <c r="S29" s="17"/>
      <c r="T29" s="17">
        <v>2.6822400000000002</v>
      </c>
      <c r="U29" s="17">
        <f>'All Experimental Diel Data'!U45</f>
        <v>421.86749443090378</v>
      </c>
      <c r="V29">
        <f t="shared" si="9"/>
        <v>2.2586707466406706E-2</v>
      </c>
      <c r="W29" s="17">
        <f>'All Experimental Diel Data'!W45</f>
        <v>495.57675809952781</v>
      </c>
      <c r="X29">
        <f t="shared" si="10"/>
        <v>2.0839413577218937E-2</v>
      </c>
    </row>
    <row r="30" spans="1:24" x14ac:dyDescent="0.2">
      <c r="A30" s="20">
        <v>42301.166666666664</v>
      </c>
      <c r="B30">
        <v>26.05</v>
      </c>
      <c r="C30" s="17">
        <v>35.9938</v>
      </c>
      <c r="D30">
        <v>2361.85</v>
      </c>
      <c r="E30" s="18">
        <f t="shared" si="6"/>
        <v>2322.8858859025718</v>
      </c>
      <c r="G30" s="17">
        <v>2065.37</v>
      </c>
      <c r="H30" s="18">
        <f t="shared" si="7"/>
        <v>2031.297001150198</v>
      </c>
      <c r="I30" s="12">
        <v>2012.9676513671875</v>
      </c>
      <c r="J30" s="31">
        <v>12.51638159071992</v>
      </c>
      <c r="K30" s="31">
        <v>10.971360214131771</v>
      </c>
      <c r="M30" s="15">
        <v>8.0021133422851562</v>
      </c>
      <c r="O30" s="17">
        <v>180.34</v>
      </c>
      <c r="P30" s="18">
        <f t="shared" si="5"/>
        <v>177.36487950702622</v>
      </c>
      <c r="Q30" s="17">
        <v>201.524403167093</v>
      </c>
      <c r="R30" s="17">
        <f t="shared" si="8"/>
        <v>196.60917382155415</v>
      </c>
      <c r="S30" s="17"/>
      <c r="T30" s="17">
        <v>2.45872</v>
      </c>
      <c r="U30" s="17">
        <f>'All Experimental Diel Data'!U46</f>
        <v>423.09193849021091</v>
      </c>
      <c r="V30">
        <f t="shared" si="9"/>
        <v>1.8951625330133771E-2</v>
      </c>
      <c r="W30" s="17">
        <f>'All Experimental Diel Data'!W46</f>
        <v>497.01691724284689</v>
      </c>
      <c r="X30">
        <f t="shared" si="10"/>
        <v>1.7485507888413323E-2</v>
      </c>
    </row>
    <row r="31" spans="1:24" x14ac:dyDescent="0.2">
      <c r="A31" s="20">
        <v>42301.25</v>
      </c>
      <c r="B31">
        <v>25.95</v>
      </c>
      <c r="C31" s="17">
        <v>36.057200000000002</v>
      </c>
      <c r="D31">
        <v>2370.13</v>
      </c>
      <c r="E31" s="18">
        <f t="shared" si="6"/>
        <v>2326.9305991591141</v>
      </c>
      <c r="G31" s="17">
        <v>2073.7950000000001</v>
      </c>
      <c r="H31" s="18">
        <f t="shared" si="7"/>
        <v>2035.9967773426665</v>
      </c>
      <c r="I31" s="12">
        <v>2013.462158203125</v>
      </c>
      <c r="J31" s="31">
        <v>12.612188097905261</v>
      </c>
      <c r="K31" s="31">
        <v>10.994884949620376</v>
      </c>
      <c r="M31" s="15">
        <v>8.0013408660888672</v>
      </c>
      <c r="O31" s="17">
        <v>179.62</v>
      </c>
      <c r="P31" s="18">
        <f t="shared" si="5"/>
        <v>176.3461389126166</v>
      </c>
      <c r="Q31" s="17">
        <v>201.77487035789301</v>
      </c>
      <c r="R31" s="17">
        <f t="shared" si="8"/>
        <v>196.85353205648099</v>
      </c>
      <c r="S31" s="17"/>
      <c r="T31" s="17">
        <v>3.1292800000000001</v>
      </c>
      <c r="U31" s="17">
        <f>'All Experimental Diel Data'!U47</f>
        <v>425.14038737751071</v>
      </c>
      <c r="V31">
        <f t="shared" si="9"/>
        <v>3.0624454122267802E-2</v>
      </c>
      <c r="W31" s="17">
        <f>'All Experimental Diel Data'!W47</f>
        <v>499.42675307659658</v>
      </c>
      <c r="X31">
        <f t="shared" si="10"/>
        <v>2.8255216333297226E-2</v>
      </c>
    </row>
    <row r="32" spans="1:24" x14ac:dyDescent="0.2">
      <c r="A32" s="20">
        <v>42301.354166666664</v>
      </c>
      <c r="B32">
        <v>26.48</v>
      </c>
      <c r="C32" s="17">
        <v>36.111400000000003</v>
      </c>
      <c r="D32">
        <v>2355.0100000000002</v>
      </c>
      <c r="E32" s="18">
        <f t="shared" si="6"/>
        <v>2308.6159495339421</v>
      </c>
      <c r="G32" s="17">
        <v>2043.7649999999999</v>
      </c>
      <c r="H32" s="18">
        <f t="shared" si="7"/>
        <v>2003.5025227490482</v>
      </c>
      <c r="I32" s="12">
        <v>2008.6134033203125</v>
      </c>
      <c r="J32" s="31">
        <v>11.713310851648677</v>
      </c>
      <c r="K32" s="31">
        <v>10.849521390201687</v>
      </c>
      <c r="M32" s="15">
        <v>8.0198726654052734</v>
      </c>
      <c r="O32" s="17">
        <v>201.52</v>
      </c>
      <c r="P32" s="18">
        <f t="shared" si="5"/>
        <v>197.55002575364011</v>
      </c>
      <c r="Q32" s="17">
        <v>199.95768591237001</v>
      </c>
      <c r="R32" s="17">
        <f t="shared" si="8"/>
        <v>195.08066918280002</v>
      </c>
      <c r="S32" s="17"/>
      <c r="T32" s="17">
        <v>3.5763199999999999</v>
      </c>
      <c r="U32" s="17">
        <f>'All Experimental Diel Data'!U48</f>
        <v>414.39245613493057</v>
      </c>
      <c r="V32">
        <f t="shared" si="9"/>
        <v>4.051468921216031E-2</v>
      </c>
      <c r="W32" s="17">
        <f>'All Experimental Diel Data'!W48</f>
        <v>486.7898237287626</v>
      </c>
      <c r="X32">
        <f t="shared" si="10"/>
        <v>3.7380722110870665E-2</v>
      </c>
    </row>
    <row r="34" spans="1:6" x14ac:dyDescent="0.2">
      <c r="B34" t="s">
        <v>340</v>
      </c>
      <c r="C34" t="s">
        <v>132</v>
      </c>
      <c r="D34" t="s">
        <v>136</v>
      </c>
      <c r="E34" t="s">
        <v>341</v>
      </c>
    </row>
    <row r="35" spans="1:6" x14ac:dyDescent="0.2">
      <c r="A35" t="s">
        <v>342</v>
      </c>
      <c r="B35" s="18">
        <f>E3</f>
        <v>2326.9968749999998</v>
      </c>
      <c r="C35" s="18">
        <f>H3</f>
        <v>2087.0887834821428</v>
      </c>
      <c r="D35" s="18">
        <f>P3</f>
        <v>206.49588448660711</v>
      </c>
      <c r="E35" s="18">
        <f>'Single Box Model Fluxes'!AK71</f>
        <v>-0.10411119455538795</v>
      </c>
    </row>
    <row r="36" spans="1:6" x14ac:dyDescent="0.2">
      <c r="A36" t="s">
        <v>343</v>
      </c>
      <c r="B36" s="49">
        <f>E20</f>
        <v>2329.5669560263605</v>
      </c>
      <c r="C36" s="49">
        <f>H20</f>
        <v>2008.8060663213521</v>
      </c>
      <c r="D36" s="49">
        <f>P20</f>
        <v>183.40102266850664</v>
      </c>
      <c r="E36" s="49">
        <f>'Single Box Model Fluxes'!AK118</f>
        <v>1.0511140258428362</v>
      </c>
    </row>
    <row r="38" spans="1:6" x14ac:dyDescent="0.2">
      <c r="A38" t="s">
        <v>284</v>
      </c>
      <c r="B38" t="s">
        <v>344</v>
      </c>
      <c r="C38" t="s">
        <v>345</v>
      </c>
      <c r="D38" t="s">
        <v>285</v>
      </c>
      <c r="E38" t="s">
        <v>346</v>
      </c>
      <c r="F38" t="s">
        <v>347</v>
      </c>
    </row>
    <row r="39" spans="1:6" x14ac:dyDescent="0.2">
      <c r="A39">
        <v>0.1</v>
      </c>
      <c r="B39">
        <f>A39*($B$35)+(1-A39)*($B$36)</f>
        <v>2329.3099479237244</v>
      </c>
      <c r="C39">
        <f>A39*($C$35)+(1-A39)*($C$36)</f>
        <v>2016.6343380374312</v>
      </c>
      <c r="D39">
        <f>A39*($D$35)+(1-A39)*($D$36)</f>
        <v>185.7105088503167</v>
      </c>
      <c r="E39">
        <v>2.7776339531861676</v>
      </c>
    </row>
    <row r="40" spans="1:6" x14ac:dyDescent="0.2">
      <c r="A40">
        <v>0.2</v>
      </c>
      <c r="B40">
        <f t="shared" ref="B40:B47" si="11">A40*($B$35)+(1-A40)*($B$36)</f>
        <v>2329.0529398210883</v>
      </c>
      <c r="C40">
        <f t="shared" ref="C40:C47" si="12">A40*($C$35)+(1-A40)*($C$36)</f>
        <v>2024.4626097535104</v>
      </c>
      <c r="D40">
        <f t="shared" ref="D40:D47" si="13">A40*($D$35)+(1-A40)*($D$36)</f>
        <v>188.01999503212673</v>
      </c>
      <c r="E40">
        <v>1.5025379972013222</v>
      </c>
    </row>
    <row r="41" spans="1:6" x14ac:dyDescent="0.2">
      <c r="A41">
        <v>0.3</v>
      </c>
      <c r="B41">
        <f t="shared" si="11"/>
        <v>2328.7959317184523</v>
      </c>
      <c r="C41">
        <f t="shared" si="12"/>
        <v>2032.2908814695893</v>
      </c>
      <c r="D41">
        <f t="shared" si="13"/>
        <v>190.32948121393679</v>
      </c>
      <c r="E41">
        <v>0.91995329712709684</v>
      </c>
    </row>
    <row r="42" spans="1:6" x14ac:dyDescent="0.2">
      <c r="A42">
        <v>0.4</v>
      </c>
      <c r="B42">
        <f t="shared" si="11"/>
        <v>2328.5389236158162</v>
      </c>
      <c r="C42">
        <f t="shared" si="12"/>
        <v>2040.1191531856684</v>
      </c>
      <c r="D42">
        <f t="shared" si="13"/>
        <v>192.63896739574682</v>
      </c>
      <c r="E42">
        <v>0.58620201869883459</v>
      </c>
    </row>
    <row r="43" spans="1:6" x14ac:dyDescent="0.2">
      <c r="A43">
        <v>0.5</v>
      </c>
      <c r="B43">
        <f t="shared" si="11"/>
        <v>2328.2819155131801</v>
      </c>
      <c r="C43">
        <f t="shared" si="12"/>
        <v>2047.9474249017476</v>
      </c>
      <c r="D43">
        <f t="shared" si="13"/>
        <v>194.94845357755688</v>
      </c>
      <c r="E43">
        <v>0.3699165208332641</v>
      </c>
    </row>
    <row r="44" spans="1:6" x14ac:dyDescent="0.2">
      <c r="A44">
        <v>0.6</v>
      </c>
      <c r="B44">
        <f t="shared" si="11"/>
        <v>2328.0249074105441</v>
      </c>
      <c r="C44">
        <f t="shared" si="12"/>
        <v>2055.7756966178267</v>
      </c>
      <c r="D44">
        <f t="shared" si="13"/>
        <v>197.25793975936693</v>
      </c>
      <c r="E44">
        <v>0.21836266530303347</v>
      </c>
    </row>
    <row r="45" spans="1:6" x14ac:dyDescent="0.2">
      <c r="A45">
        <v>0.7</v>
      </c>
      <c r="B45">
        <f t="shared" si="11"/>
        <v>2327.767899307908</v>
      </c>
      <c r="C45">
        <f t="shared" si="12"/>
        <v>2063.6039683339059</v>
      </c>
      <c r="D45">
        <f t="shared" si="13"/>
        <v>199.56742594117696</v>
      </c>
      <c r="E45">
        <v>0.10626297397694559</v>
      </c>
    </row>
    <row r="46" spans="1:6" x14ac:dyDescent="0.2">
      <c r="A46">
        <v>0.8</v>
      </c>
      <c r="B46">
        <f t="shared" si="11"/>
        <v>2327.5108912052719</v>
      </c>
      <c r="C46">
        <f t="shared" si="12"/>
        <v>2071.4322400499846</v>
      </c>
      <c r="D46">
        <f t="shared" si="13"/>
        <v>201.87691212298702</v>
      </c>
      <c r="E46">
        <v>1.998518490078258E-2</v>
      </c>
    </row>
    <row r="47" spans="1:6" x14ac:dyDescent="0.2">
      <c r="A47">
        <v>0.9</v>
      </c>
      <c r="B47">
        <f t="shared" si="11"/>
        <v>2327.2538831026359</v>
      </c>
      <c r="C47">
        <f t="shared" si="12"/>
        <v>2079.2605117660637</v>
      </c>
      <c r="D47">
        <f t="shared" si="13"/>
        <v>204.18639830479708</v>
      </c>
      <c r="E47">
        <v>-4.8471268390026537E-2</v>
      </c>
    </row>
    <row r="49" spans="1:6" x14ac:dyDescent="0.2">
      <c r="B49" t="s">
        <v>340</v>
      </c>
      <c r="C49" t="s">
        <v>132</v>
      </c>
      <c r="D49" t="s">
        <v>136</v>
      </c>
      <c r="E49" t="s">
        <v>341</v>
      </c>
    </row>
    <row r="50" spans="1:6" x14ac:dyDescent="0.2">
      <c r="A50" t="s">
        <v>349</v>
      </c>
      <c r="B50" s="18">
        <f>E4</f>
        <v>2326.3846798993563</v>
      </c>
      <c r="C50" s="18">
        <f>H4</f>
        <v>2036.9003634330443</v>
      </c>
      <c r="D50" s="18">
        <f>P4</f>
        <v>198.85902991333518</v>
      </c>
      <c r="E50" s="18">
        <f>'Single Box Model Fluxes'!AK72</f>
        <v>-4.1006124979756304</v>
      </c>
    </row>
    <row r="51" spans="1:6" x14ac:dyDescent="0.2">
      <c r="A51" t="s">
        <v>350</v>
      </c>
      <c r="B51" s="49">
        <f>E21</f>
        <v>2334.2406354154577</v>
      </c>
      <c r="C51" s="49">
        <f>H21</f>
        <v>1993.743512361749</v>
      </c>
      <c r="D51" s="49">
        <f>P21</f>
        <v>196.36012403203611</v>
      </c>
      <c r="E51" s="49">
        <f>'Single Box Model Fluxes'!AK119</f>
        <v>-1.2221997187644127</v>
      </c>
    </row>
    <row r="53" spans="1:6" x14ac:dyDescent="0.2">
      <c r="A53" t="s">
        <v>284</v>
      </c>
      <c r="B53" t="s">
        <v>344</v>
      </c>
      <c r="C53" t="s">
        <v>345</v>
      </c>
      <c r="D53" t="s">
        <v>285</v>
      </c>
      <c r="E53" t="s">
        <v>351</v>
      </c>
      <c r="F53" t="s">
        <v>348</v>
      </c>
    </row>
    <row r="54" spans="1:6" x14ac:dyDescent="0.2">
      <c r="A54">
        <v>0.1</v>
      </c>
      <c r="B54">
        <f>A54*($B$50)+(1-A54)*($B$51)</f>
        <v>2333.4550398638476</v>
      </c>
      <c r="C54">
        <f>A54*($C$50)+(1-A54)*($C$51)</f>
        <v>1998.0591974688787</v>
      </c>
      <c r="D54">
        <f>A54*($D$50)+(1-A54)*($D$51)</f>
        <v>196.61001462016603</v>
      </c>
      <c r="E54">
        <v>-1.2341754357616104</v>
      </c>
    </row>
    <row r="55" spans="1:6" x14ac:dyDescent="0.2">
      <c r="A55">
        <v>0.2</v>
      </c>
      <c r="B55">
        <f t="shared" ref="B55:B62" si="14">A55*($B$50)+(1-A55)*($B$51)</f>
        <v>2332.6694443122378</v>
      </c>
      <c r="C55">
        <f t="shared" ref="C55:C62" si="15">A55*($C$50)+(1-A55)*($C$51)</f>
        <v>2002.3748825760081</v>
      </c>
      <c r="D55">
        <f t="shared" ref="D55:D62" si="16">A55*($D$50)+(1-A55)*($D$51)</f>
        <v>196.85990520829594</v>
      </c>
      <c r="E55">
        <v>-1.4143923053266276</v>
      </c>
    </row>
    <row r="56" spans="1:6" x14ac:dyDescent="0.2">
      <c r="A56">
        <v>0.3</v>
      </c>
      <c r="B56">
        <f t="shared" si="14"/>
        <v>2331.8838487606272</v>
      </c>
      <c r="C56">
        <f t="shared" si="15"/>
        <v>2006.6905676831375</v>
      </c>
      <c r="D56">
        <f t="shared" si="16"/>
        <v>197.1097957964258</v>
      </c>
      <c r="E56">
        <v>-1.6152922677134194</v>
      </c>
    </row>
    <row r="57" spans="1:6" x14ac:dyDescent="0.2">
      <c r="A57">
        <v>0.4</v>
      </c>
      <c r="B57">
        <f t="shared" si="14"/>
        <v>2331.0982532090175</v>
      </c>
      <c r="C57">
        <f t="shared" si="15"/>
        <v>2011.0062527902671</v>
      </c>
      <c r="D57">
        <f t="shared" si="16"/>
        <v>197.35968638455574</v>
      </c>
      <c r="E57">
        <v>-1.8406527137819506</v>
      </c>
    </row>
    <row r="58" spans="1:6" x14ac:dyDescent="0.2">
      <c r="A58">
        <v>0.5</v>
      </c>
      <c r="B58">
        <f t="shared" si="14"/>
        <v>2330.3126576574068</v>
      </c>
      <c r="C58">
        <f t="shared" si="15"/>
        <v>2015.3219378973968</v>
      </c>
      <c r="D58">
        <f t="shared" si="16"/>
        <v>197.60957697268566</v>
      </c>
      <c r="E58">
        <v>-2.0952304899954166</v>
      </c>
    </row>
    <row r="59" spans="1:6" x14ac:dyDescent="0.2">
      <c r="A59">
        <v>0.6</v>
      </c>
      <c r="B59">
        <f t="shared" si="14"/>
        <v>2329.5270621057971</v>
      </c>
      <c r="C59">
        <f t="shared" si="15"/>
        <v>2019.6376230045262</v>
      </c>
      <c r="D59">
        <f t="shared" si="16"/>
        <v>197.85946756081555</v>
      </c>
      <c r="E59">
        <v>-2.3851013626661635</v>
      </c>
    </row>
    <row r="60" spans="1:6" x14ac:dyDescent="0.2">
      <c r="A60">
        <v>0.7</v>
      </c>
      <c r="B60">
        <f t="shared" si="14"/>
        <v>2328.7414665541869</v>
      </c>
      <c r="C60">
        <f t="shared" si="15"/>
        <v>2023.9533081116558</v>
      </c>
      <c r="D60">
        <f t="shared" si="16"/>
        <v>198.10935814894543</v>
      </c>
      <c r="E60">
        <v>-2.7181511812120638</v>
      </c>
    </row>
    <row r="61" spans="1:6" x14ac:dyDescent="0.2">
      <c r="A61">
        <v>0.8</v>
      </c>
      <c r="B61">
        <f t="shared" si="14"/>
        <v>2327.9558710025767</v>
      </c>
      <c r="C61">
        <f t="shared" si="15"/>
        <v>2028.268993218785</v>
      </c>
      <c r="D61">
        <f t="shared" si="16"/>
        <v>198.35924873707538</v>
      </c>
      <c r="E61">
        <v>-3.1048041943999549</v>
      </c>
    </row>
    <row r="62" spans="1:6" x14ac:dyDescent="0.2">
      <c r="A62">
        <v>0.9</v>
      </c>
      <c r="B62">
        <f t="shared" si="14"/>
        <v>2327.1702754509665</v>
      </c>
      <c r="C62">
        <f t="shared" si="15"/>
        <v>2032.5846783259146</v>
      </c>
      <c r="D62">
        <f t="shared" si="16"/>
        <v>198.60913932520526</v>
      </c>
      <c r="E62">
        <v>-3.5591338022204573</v>
      </c>
    </row>
    <row r="64" spans="1:6" x14ac:dyDescent="0.2">
      <c r="B64" t="s">
        <v>340</v>
      </c>
      <c r="C64" t="s">
        <v>132</v>
      </c>
      <c r="D64" t="s">
        <v>136</v>
      </c>
      <c r="E64" t="s">
        <v>341</v>
      </c>
    </row>
    <row r="65" spans="1:6" x14ac:dyDescent="0.2">
      <c r="A65" t="s">
        <v>286</v>
      </c>
      <c r="B65" s="18">
        <f>E5</f>
        <v>2302.3859060402688</v>
      </c>
      <c r="C65" s="18">
        <f>H5</f>
        <v>1980.4795302013422</v>
      </c>
      <c r="D65" s="18">
        <f>P5</f>
        <v>237.58389261744966</v>
      </c>
      <c r="E65" s="18">
        <f>'Single Box Model Fluxes'!AK73</f>
        <v>-2.613743678082638</v>
      </c>
    </row>
    <row r="66" spans="1:6" x14ac:dyDescent="0.2">
      <c r="A66" t="s">
        <v>287</v>
      </c>
      <c r="B66" s="49">
        <f>E22</f>
        <v>2321.6077802950758</v>
      </c>
      <c r="C66" s="49">
        <f>H22</f>
        <v>1959.8859755760623</v>
      </c>
      <c r="D66" s="49">
        <f>P22</f>
        <v>216.81693098303583</v>
      </c>
      <c r="E66" s="49">
        <f>'Single Box Model Fluxes'!AK120</f>
        <v>-1.4912646541816168</v>
      </c>
    </row>
    <row r="68" spans="1:6" x14ac:dyDescent="0.2">
      <c r="A68" t="s">
        <v>284</v>
      </c>
      <c r="B68" t="s">
        <v>344</v>
      </c>
      <c r="C68" t="s">
        <v>345</v>
      </c>
      <c r="D68" t="s">
        <v>285</v>
      </c>
      <c r="E68" t="s">
        <v>353</v>
      </c>
      <c r="F68" t="s">
        <v>352</v>
      </c>
    </row>
    <row r="69" spans="1:6" x14ac:dyDescent="0.2">
      <c r="A69">
        <v>0.1</v>
      </c>
      <c r="B69">
        <f>A69*($B$65)+(1-A69)*($B$66)</f>
        <v>2319.685592869595</v>
      </c>
      <c r="C69">
        <f>A69*($C$65)+(1-A69)*($C$66)</f>
        <v>1961.9453310385902</v>
      </c>
      <c r="D69">
        <f>A69*($D$65)+(1-A69)*($D$66)</f>
        <v>218.89362714647723</v>
      </c>
      <c r="E69">
        <v>-1.641627540921943</v>
      </c>
    </row>
    <row r="70" spans="1:6" x14ac:dyDescent="0.2">
      <c r="A70">
        <v>0.2</v>
      </c>
      <c r="B70">
        <f t="shared" ref="B70:B77" si="17">A70*($B$65)+(1-A70)*($B$66)</f>
        <v>2317.7634054441146</v>
      </c>
      <c r="C70">
        <f t="shared" ref="C70:C77" si="18">A70*($C$65)+(1-A70)*($C$66)</f>
        <v>1964.0046865011182</v>
      </c>
      <c r="D70">
        <f t="shared" ref="D70:D77" si="19">A70*($D$65)+(1-A70)*($D$66)</f>
        <v>220.9703233099186</v>
      </c>
      <c r="E70">
        <v>-1.7632640778978785</v>
      </c>
    </row>
    <row r="71" spans="1:6" x14ac:dyDescent="0.2">
      <c r="A71">
        <v>0.3</v>
      </c>
      <c r="B71">
        <f t="shared" si="17"/>
        <v>2315.8412180186338</v>
      </c>
      <c r="C71">
        <f t="shared" si="18"/>
        <v>1966.0640419636461</v>
      </c>
      <c r="D71">
        <f t="shared" si="19"/>
        <v>223.04701947335997</v>
      </c>
      <c r="E71">
        <v>-1.8811246531597079</v>
      </c>
    </row>
    <row r="72" spans="1:6" x14ac:dyDescent="0.2">
      <c r="A72">
        <v>0.4</v>
      </c>
      <c r="B72">
        <f t="shared" si="17"/>
        <v>2313.9190305931529</v>
      </c>
      <c r="C72">
        <f t="shared" si="18"/>
        <v>1968.1233974261743</v>
      </c>
      <c r="D72">
        <f t="shared" si="19"/>
        <v>225.12371563680136</v>
      </c>
      <c r="E72">
        <v>-1.9953824050499225</v>
      </c>
    </row>
    <row r="73" spans="1:6" x14ac:dyDescent="0.2">
      <c r="A73">
        <v>0.5</v>
      </c>
      <c r="B73">
        <f t="shared" si="17"/>
        <v>2311.9968431676725</v>
      </c>
      <c r="C73">
        <f t="shared" si="18"/>
        <v>1970.1827528887022</v>
      </c>
      <c r="D73">
        <f t="shared" si="19"/>
        <v>227.20041180024276</v>
      </c>
      <c r="E73">
        <v>-2.1062000460964434</v>
      </c>
    </row>
    <row r="74" spans="1:6" x14ac:dyDescent="0.2">
      <c r="A74">
        <v>0.6</v>
      </c>
      <c r="B74">
        <f t="shared" si="17"/>
        <v>2310.0746557421917</v>
      </c>
      <c r="C74">
        <f t="shared" si="18"/>
        <v>1972.2421083512302</v>
      </c>
      <c r="D74">
        <f t="shared" si="19"/>
        <v>229.27710796368413</v>
      </c>
      <c r="E74">
        <v>-2.2137306361330884</v>
      </c>
    </row>
    <row r="75" spans="1:6" x14ac:dyDescent="0.2">
      <c r="A75">
        <v>0.7</v>
      </c>
      <c r="B75">
        <f t="shared" si="17"/>
        <v>2308.1524683167108</v>
      </c>
      <c r="C75">
        <f t="shared" si="18"/>
        <v>1974.3014638137583</v>
      </c>
      <c r="D75">
        <f t="shared" si="19"/>
        <v>231.3538041271255</v>
      </c>
      <c r="E75">
        <v>-2.3181182876300892</v>
      </c>
    </row>
    <row r="76" spans="1:6" x14ac:dyDescent="0.2">
      <c r="A76">
        <v>0.8</v>
      </c>
      <c r="B76">
        <f t="shared" si="17"/>
        <v>2306.23028089123</v>
      </c>
      <c r="C76">
        <f t="shared" si="18"/>
        <v>1976.3608192762863</v>
      </c>
      <c r="D76">
        <f t="shared" si="19"/>
        <v>233.4305002905669</v>
      </c>
      <c r="E76">
        <v>-2.4194988100679358</v>
      </c>
    </row>
    <row r="77" spans="1:6" x14ac:dyDescent="0.2">
      <c r="A77">
        <v>0.9</v>
      </c>
      <c r="B77">
        <f t="shared" si="17"/>
        <v>2304.3080934657496</v>
      </c>
      <c r="C77">
        <f t="shared" si="18"/>
        <v>1978.4201747388142</v>
      </c>
      <c r="D77">
        <f t="shared" si="19"/>
        <v>235.50719645400829</v>
      </c>
      <c r="E77">
        <v>-2.5180002994141173</v>
      </c>
    </row>
    <row r="79" spans="1:6" x14ac:dyDescent="0.2">
      <c r="B79" t="s">
        <v>340</v>
      </c>
      <c r="C79" t="s">
        <v>132</v>
      </c>
      <c r="D79" t="s">
        <v>136</v>
      </c>
      <c r="E79" t="s">
        <v>341</v>
      </c>
    </row>
    <row r="80" spans="1:6" x14ac:dyDescent="0.2">
      <c r="A80" t="s">
        <v>354</v>
      </c>
      <c r="B80" s="18">
        <f>E6</f>
        <v>2298.2571188811185</v>
      </c>
      <c r="C80" s="18">
        <f>H6</f>
        <v>1952.6342937062936</v>
      </c>
      <c r="D80" s="18">
        <f>P6</f>
        <v>254.36013986013984</v>
      </c>
      <c r="E80" s="18">
        <f>'Single Box Model Fluxes'!AK74</f>
        <v>-3.0520585584415105</v>
      </c>
    </row>
    <row r="81" spans="1:5" x14ac:dyDescent="0.2">
      <c r="A81" t="s">
        <v>355</v>
      </c>
      <c r="B81" s="49">
        <f>E23</f>
        <v>2292.788483324583</v>
      </c>
      <c r="C81" s="49">
        <f>H23</f>
        <v>1938.822718355392</v>
      </c>
      <c r="D81" s="49">
        <f>P23</f>
        <v>224.11229311154705</v>
      </c>
      <c r="E81" s="49">
        <f>'Single Box Model Fluxes'!AK121</f>
        <v>-0.96641138065544685</v>
      </c>
    </row>
    <row r="83" spans="1:5" x14ac:dyDescent="0.2">
      <c r="A83" t="s">
        <v>284</v>
      </c>
      <c r="B83" t="s">
        <v>344</v>
      </c>
      <c r="C83" t="s">
        <v>345</v>
      </c>
      <c r="D83" t="s">
        <v>285</v>
      </c>
    </row>
    <row r="84" spans="1:5" x14ac:dyDescent="0.2">
      <c r="A84">
        <v>0.1</v>
      </c>
      <c r="B84">
        <f>A84*($B$80)+(1-A84)*($B$81)</f>
        <v>2293.3353468802366</v>
      </c>
      <c r="C84">
        <f>A84*($C$80)+(1-A84)*($C$81)</f>
        <v>1940.2038758904823</v>
      </c>
      <c r="D84">
        <f>A84*($D$80)+(1-A84)*($D$81)</f>
        <v>227.13707778640634</v>
      </c>
    </row>
    <row r="85" spans="1:5" x14ac:dyDescent="0.2">
      <c r="A85">
        <v>0.2</v>
      </c>
      <c r="B85">
        <f t="shared" ref="B85:B92" si="20">A85*($B$80)+(1-A85)*($B$81)</f>
        <v>2293.8822104358906</v>
      </c>
      <c r="C85">
        <f t="shared" ref="C85:C91" si="21">A85*($C$80)+(1-A85)*($C$81)</f>
        <v>1941.5850334255724</v>
      </c>
      <c r="D85">
        <f t="shared" ref="D85:D92" si="22">A85*($D$80)+(1-A85)*($D$81)</f>
        <v>230.16186246126563</v>
      </c>
    </row>
    <row r="86" spans="1:5" x14ac:dyDescent="0.2">
      <c r="A86">
        <v>0.3</v>
      </c>
      <c r="B86">
        <f t="shared" si="20"/>
        <v>2294.4290739915432</v>
      </c>
      <c r="C86">
        <f t="shared" si="21"/>
        <v>1942.9661909606625</v>
      </c>
      <c r="D86">
        <f t="shared" si="22"/>
        <v>233.18664713612486</v>
      </c>
    </row>
    <row r="87" spans="1:5" x14ac:dyDescent="0.2">
      <c r="A87">
        <v>0.4</v>
      </c>
      <c r="B87">
        <f t="shared" si="20"/>
        <v>2294.9759375471972</v>
      </c>
      <c r="C87">
        <f t="shared" si="21"/>
        <v>1944.3473484957526</v>
      </c>
      <c r="D87">
        <f t="shared" si="22"/>
        <v>236.21143181098415</v>
      </c>
    </row>
    <row r="88" spans="1:5" x14ac:dyDescent="0.2">
      <c r="A88">
        <v>0.5</v>
      </c>
      <c r="B88">
        <f t="shared" si="20"/>
        <v>2295.5228011028507</v>
      </c>
      <c r="C88">
        <f t="shared" si="21"/>
        <v>1945.7285060308427</v>
      </c>
      <c r="D88">
        <f t="shared" si="22"/>
        <v>239.23621648584344</v>
      </c>
    </row>
    <row r="89" spans="1:5" x14ac:dyDescent="0.2">
      <c r="A89">
        <v>0.6</v>
      </c>
      <c r="B89">
        <f t="shared" si="20"/>
        <v>2296.0696646585043</v>
      </c>
      <c r="C89">
        <f t="shared" si="21"/>
        <v>1947.109663565933</v>
      </c>
      <c r="D89">
        <f t="shared" si="22"/>
        <v>242.26100116070273</v>
      </c>
    </row>
    <row r="90" spans="1:5" x14ac:dyDescent="0.2">
      <c r="A90">
        <v>0.7</v>
      </c>
      <c r="B90">
        <f t="shared" si="20"/>
        <v>2296.6165282141578</v>
      </c>
      <c r="C90">
        <f t="shared" si="21"/>
        <v>1948.4908211010231</v>
      </c>
      <c r="D90">
        <f t="shared" si="22"/>
        <v>245.285785835562</v>
      </c>
    </row>
    <row r="91" spans="1:5" x14ac:dyDescent="0.2">
      <c r="A91">
        <v>0.8</v>
      </c>
      <c r="B91">
        <f t="shared" si="20"/>
        <v>2297.1633917698114</v>
      </c>
      <c r="C91">
        <f t="shared" si="21"/>
        <v>1949.8719786361135</v>
      </c>
      <c r="D91">
        <f t="shared" si="22"/>
        <v>248.31057051042129</v>
      </c>
    </row>
    <row r="92" spans="1:5" x14ac:dyDescent="0.2">
      <c r="A92">
        <v>0.9</v>
      </c>
      <c r="B92">
        <f t="shared" si="20"/>
        <v>2297.7102553254649</v>
      </c>
      <c r="C92">
        <f>A92*($C$80)+(1-A92)*($C$81)</f>
        <v>1951.2531361712033</v>
      </c>
      <c r="D92">
        <f t="shared" si="22"/>
        <v>251.33535518528055</v>
      </c>
    </row>
    <row r="94" spans="1:5" x14ac:dyDescent="0.2">
      <c r="B94" t="s">
        <v>340</v>
      </c>
      <c r="C94" t="s">
        <v>132</v>
      </c>
      <c r="D94" t="s">
        <v>136</v>
      </c>
      <c r="E94" t="s">
        <v>341</v>
      </c>
    </row>
    <row r="95" spans="1:5" x14ac:dyDescent="0.2">
      <c r="A95" t="s">
        <v>356</v>
      </c>
      <c r="B95" s="18">
        <f>E9</f>
        <v>2330.1319720279721</v>
      </c>
      <c r="C95" s="18">
        <f>H9</f>
        <v>2069.7959160839164</v>
      </c>
      <c r="D95" s="18">
        <f>P9</f>
        <v>168.95454545454544</v>
      </c>
      <c r="E95" s="18">
        <f>'Single Box Model Fluxes'!AK77</f>
        <v>-0.24561066704300291</v>
      </c>
    </row>
    <row r="96" spans="1:5" x14ac:dyDescent="0.2">
      <c r="A96" t="s">
        <v>357</v>
      </c>
      <c r="B96" s="49">
        <f>E27</f>
        <v>2322.6723603784644</v>
      </c>
      <c r="C96" s="49">
        <f>H27</f>
        <v>2019.3828183873397</v>
      </c>
      <c r="D96" s="49">
        <f>P27</f>
        <v>183.37771079293307</v>
      </c>
      <c r="E96" s="49">
        <f>'Single Box Model Fluxes'!AK125</f>
        <v>-0.40156730818114461</v>
      </c>
    </row>
    <row r="98" spans="1:6" x14ac:dyDescent="0.2">
      <c r="A98" t="s">
        <v>284</v>
      </c>
      <c r="B98" t="s">
        <v>344</v>
      </c>
      <c r="C98" t="s">
        <v>345</v>
      </c>
      <c r="D98" t="s">
        <v>285</v>
      </c>
      <c r="E98" t="s">
        <v>359</v>
      </c>
      <c r="F98" t="s">
        <v>358</v>
      </c>
    </row>
    <row r="99" spans="1:6" x14ac:dyDescent="0.2">
      <c r="A99">
        <v>0.1</v>
      </c>
      <c r="B99">
        <f>A99*($B$95)+(1-A99)*($B$96)</f>
        <v>2323.418321543415</v>
      </c>
      <c r="C99">
        <f>A99*($C$95)+(1-A99)*($C$96)</f>
        <v>2024.4241281569975</v>
      </c>
      <c r="D99">
        <f>A99*($D$95)+(1-A99)*($D$96)</f>
        <v>181.93539425909432</v>
      </c>
      <c r="E99">
        <v>-0.4122899046586922</v>
      </c>
    </row>
    <row r="100" spans="1:6" x14ac:dyDescent="0.2">
      <c r="A100">
        <v>0.2</v>
      </c>
      <c r="B100">
        <f t="shared" ref="B100:B107" si="23">A100*($B$95)+(1-A100)*($B$96)</f>
        <v>2324.164282708366</v>
      </c>
      <c r="C100">
        <f t="shared" ref="C100:C107" si="24">A100*($C$95)+(1-A100)*($C$96)</f>
        <v>2029.4654379266551</v>
      </c>
      <c r="D100">
        <f t="shared" ref="D100:D107" si="25">A100*($D$95)+(1-A100)*($D$96)</f>
        <v>180.49307772525555</v>
      </c>
      <c r="E100">
        <v>-0.37894822708835485</v>
      </c>
    </row>
    <row r="101" spans="1:6" x14ac:dyDescent="0.2">
      <c r="A101">
        <v>0.3</v>
      </c>
      <c r="B101">
        <f t="shared" si="23"/>
        <v>2324.9102438733166</v>
      </c>
      <c r="C101">
        <f t="shared" si="24"/>
        <v>2034.5067476963127</v>
      </c>
      <c r="D101">
        <f t="shared" si="25"/>
        <v>179.05076119141677</v>
      </c>
      <c r="E101">
        <v>-0.35167084121361375</v>
      </c>
    </row>
    <row r="102" spans="1:6" x14ac:dyDescent="0.2">
      <c r="A102">
        <v>0.4</v>
      </c>
      <c r="B102">
        <f t="shared" si="23"/>
        <v>2325.6562050382677</v>
      </c>
      <c r="C102">
        <f t="shared" si="24"/>
        <v>2039.5480574659705</v>
      </c>
      <c r="D102">
        <f t="shared" si="25"/>
        <v>177.60844465757802</v>
      </c>
      <c r="E102">
        <v>-0.32894117699948139</v>
      </c>
    </row>
    <row r="103" spans="1:6" x14ac:dyDescent="0.2">
      <c r="A103">
        <v>0.5</v>
      </c>
      <c r="B103">
        <f t="shared" si="23"/>
        <v>2326.4021662032183</v>
      </c>
      <c r="C103">
        <f t="shared" si="24"/>
        <v>2044.5893672356281</v>
      </c>
      <c r="D103">
        <f t="shared" si="25"/>
        <v>176.16612812373927</v>
      </c>
      <c r="E103">
        <v>-0.30970944257886407</v>
      </c>
    </row>
    <row r="104" spans="1:6" x14ac:dyDescent="0.2">
      <c r="A104">
        <v>0.6</v>
      </c>
      <c r="B104">
        <f t="shared" si="23"/>
        <v>2327.1481273681688</v>
      </c>
      <c r="C104">
        <f t="shared" si="24"/>
        <v>2049.6306770052856</v>
      </c>
      <c r="D104">
        <f t="shared" si="25"/>
        <v>174.72381158990049</v>
      </c>
      <c r="E104">
        <v>-0.29322587091303332</v>
      </c>
    </row>
    <row r="105" spans="1:6" x14ac:dyDescent="0.2">
      <c r="A105">
        <v>0.7</v>
      </c>
      <c r="B105">
        <f t="shared" si="23"/>
        <v>2327.8940885331199</v>
      </c>
      <c r="C105">
        <f t="shared" si="24"/>
        <v>2054.6719867749434</v>
      </c>
      <c r="D105">
        <f t="shared" si="25"/>
        <v>173.28149505606171</v>
      </c>
      <c r="E105">
        <v>-0.27894068528354482</v>
      </c>
    </row>
    <row r="106" spans="1:6" x14ac:dyDescent="0.2">
      <c r="A106">
        <v>0.8</v>
      </c>
      <c r="B106">
        <f t="shared" si="23"/>
        <v>2328.6400496980705</v>
      </c>
      <c r="C106">
        <f t="shared" si="24"/>
        <v>2059.7132965446008</v>
      </c>
      <c r="D106">
        <f t="shared" si="25"/>
        <v>171.83917852222297</v>
      </c>
      <c r="E106">
        <v>-0.26644158694913966</v>
      </c>
    </row>
    <row r="107" spans="1:6" x14ac:dyDescent="0.2">
      <c r="A107">
        <v>0.9</v>
      </c>
      <c r="B107">
        <f t="shared" si="23"/>
        <v>2329.3860108630215</v>
      </c>
      <c r="C107">
        <f t="shared" si="24"/>
        <v>2064.754606314259</v>
      </c>
      <c r="D107">
        <f t="shared" si="25"/>
        <v>170.39686198838422</v>
      </c>
      <c r="E107">
        <v>-0.25541331108866289</v>
      </c>
    </row>
    <row r="109" spans="1:6" x14ac:dyDescent="0.2">
      <c r="B109" t="s">
        <v>340</v>
      </c>
      <c r="C109" t="s">
        <v>132</v>
      </c>
      <c r="D109" t="s">
        <v>136</v>
      </c>
      <c r="E109" t="s">
        <v>341</v>
      </c>
    </row>
    <row r="110" spans="1:6" x14ac:dyDescent="0.2">
      <c r="A110" t="s">
        <v>360</v>
      </c>
      <c r="B110" s="18">
        <f>E10</f>
        <v>2332.7956363636367</v>
      </c>
      <c r="C110" s="18">
        <f>H10</f>
        <v>2075.2420699300701</v>
      </c>
      <c r="D110" s="18">
        <f>P10</f>
        <v>172.66783216783216</v>
      </c>
      <c r="E110" s="18">
        <f>'Single Box Model Fluxes'!AK78</f>
        <v>-0.27757150612035569</v>
      </c>
    </row>
    <row r="111" spans="1:6" x14ac:dyDescent="0.2">
      <c r="A111" t="s">
        <v>361</v>
      </c>
      <c r="B111" s="49">
        <f>E28</f>
        <v>2328.096054024089</v>
      </c>
      <c r="C111" s="49">
        <f>H28</f>
        <v>2021.0342018176016</v>
      </c>
      <c r="D111" s="49">
        <f>P28</f>
        <v>181.50262897075376</v>
      </c>
      <c r="E111" s="49">
        <f>'Single Box Model Fluxes'!AK126</f>
        <v>-0.35199033547926417</v>
      </c>
    </row>
    <row r="113" spans="1:4" x14ac:dyDescent="0.2">
      <c r="A113" t="s">
        <v>284</v>
      </c>
      <c r="B113" t="s">
        <v>344</v>
      </c>
      <c r="C113" t="s">
        <v>345</v>
      </c>
      <c r="D113" t="s">
        <v>285</v>
      </c>
    </row>
    <row r="114" spans="1:4" x14ac:dyDescent="0.2">
      <c r="A114">
        <v>0.1</v>
      </c>
      <c r="B114">
        <f>A114*($B$110)+(1-A114)*($B$111)</f>
        <v>2328.5660122580434</v>
      </c>
      <c r="C114">
        <f>A114*($C$110)+(1-A114)*($C$111)</f>
        <v>2026.4549886288485</v>
      </c>
      <c r="D114">
        <f>A114*($D$110)+(1-A114)*($D$111)</f>
        <v>180.61914929046159</v>
      </c>
    </row>
    <row r="115" spans="1:4" x14ac:dyDescent="0.2">
      <c r="A115">
        <v>0.2</v>
      </c>
      <c r="B115">
        <f t="shared" ref="B115:B122" si="26">A115*($B$110)+(1-A115)*($B$111)</f>
        <v>2329.0359704919988</v>
      </c>
      <c r="C115">
        <f t="shared" ref="C115:C122" si="27">A115*($C$110)+(1-A115)*($C$111)</f>
        <v>2031.8757754400954</v>
      </c>
      <c r="D115">
        <f t="shared" ref="D115:D122" si="28">A115*($D$110)+(1-A115)*($D$111)</f>
        <v>179.73566961016945</v>
      </c>
    </row>
    <row r="116" spans="1:4" x14ac:dyDescent="0.2">
      <c r="A116">
        <v>0.3</v>
      </c>
      <c r="B116">
        <f t="shared" si="26"/>
        <v>2329.5059287259533</v>
      </c>
      <c r="C116">
        <f t="shared" si="27"/>
        <v>2037.296562251342</v>
      </c>
      <c r="D116">
        <f t="shared" si="28"/>
        <v>178.85218992987728</v>
      </c>
    </row>
    <row r="117" spans="1:4" x14ac:dyDescent="0.2">
      <c r="A117">
        <v>0.4</v>
      </c>
      <c r="B117">
        <f t="shared" si="26"/>
        <v>2329.9758869599082</v>
      </c>
      <c r="C117">
        <f t="shared" si="27"/>
        <v>2042.7173490625892</v>
      </c>
      <c r="D117">
        <f t="shared" si="28"/>
        <v>177.96871024958511</v>
      </c>
    </row>
    <row r="118" spans="1:4" x14ac:dyDescent="0.2">
      <c r="A118">
        <v>0.5</v>
      </c>
      <c r="B118">
        <f t="shared" si="26"/>
        <v>2330.4458451938626</v>
      </c>
      <c r="C118">
        <f t="shared" si="27"/>
        <v>2048.1381358738358</v>
      </c>
      <c r="D118">
        <f t="shared" si="28"/>
        <v>177.08523056929295</v>
      </c>
    </row>
    <row r="119" spans="1:4" x14ac:dyDescent="0.2">
      <c r="A119">
        <v>0.6</v>
      </c>
      <c r="B119">
        <f t="shared" si="26"/>
        <v>2330.915803427818</v>
      </c>
      <c r="C119">
        <f t="shared" si="27"/>
        <v>2053.5589226850825</v>
      </c>
      <c r="D119">
        <f t="shared" si="28"/>
        <v>176.20175088900078</v>
      </c>
    </row>
    <row r="120" spans="1:4" x14ac:dyDescent="0.2">
      <c r="A120">
        <v>0.7</v>
      </c>
      <c r="B120">
        <f t="shared" si="26"/>
        <v>2331.3857616617724</v>
      </c>
      <c r="C120">
        <f t="shared" si="27"/>
        <v>2058.9797094963296</v>
      </c>
      <c r="D120">
        <f t="shared" si="28"/>
        <v>175.31827120870864</v>
      </c>
    </row>
    <row r="121" spans="1:4" x14ac:dyDescent="0.2">
      <c r="A121">
        <v>0.8</v>
      </c>
      <c r="B121">
        <f t="shared" si="26"/>
        <v>2331.8557198957274</v>
      </c>
      <c r="C121">
        <f t="shared" si="27"/>
        <v>2064.4004963075763</v>
      </c>
      <c r="D121">
        <f t="shared" si="28"/>
        <v>174.4347915284165</v>
      </c>
    </row>
    <row r="122" spans="1:4" x14ac:dyDescent="0.2">
      <c r="A122">
        <v>0.9</v>
      </c>
      <c r="B122">
        <f t="shared" si="26"/>
        <v>2332.3256781296823</v>
      </c>
      <c r="C122">
        <f t="shared" si="27"/>
        <v>2069.821283118823</v>
      </c>
      <c r="D122">
        <f t="shared" si="28"/>
        <v>173.55131184812433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AED26-23A9-134D-B547-CB5903350CBA}">
  <dimension ref="A1:K95"/>
  <sheetViews>
    <sheetView topLeftCell="A53" workbookViewId="0">
      <selection activeCell="T97" sqref="T97"/>
    </sheetView>
  </sheetViews>
  <sheetFormatPr baseColWidth="10" defaultRowHeight="16" x14ac:dyDescent="0.2"/>
  <cols>
    <col min="1" max="1" width="21" customWidth="1"/>
  </cols>
  <sheetData>
    <row r="1" spans="1:1" x14ac:dyDescent="0.2">
      <c r="A1" s="10" t="s">
        <v>248</v>
      </c>
    </row>
    <row r="23" spans="1:11" x14ac:dyDescent="0.2">
      <c r="A23" t="s">
        <v>249</v>
      </c>
      <c r="K23" t="s">
        <v>250</v>
      </c>
    </row>
    <row r="25" spans="1:11" x14ac:dyDescent="0.2">
      <c r="A25" t="s">
        <v>251</v>
      </c>
    </row>
    <row r="47" spans="1:11" x14ac:dyDescent="0.2">
      <c r="A47" t="s">
        <v>249</v>
      </c>
      <c r="K47" t="s">
        <v>250</v>
      </c>
    </row>
    <row r="49" spans="1:1" x14ac:dyDescent="0.2">
      <c r="A49" t="s">
        <v>252</v>
      </c>
    </row>
    <row r="71" spans="1:11" x14ac:dyDescent="0.2">
      <c r="A71" t="s">
        <v>249</v>
      </c>
      <c r="K71" t="s">
        <v>250</v>
      </c>
    </row>
    <row r="73" spans="1:11" x14ac:dyDescent="0.2">
      <c r="A73" t="s">
        <v>253</v>
      </c>
    </row>
    <row r="95" spans="1:11" x14ac:dyDescent="0.2">
      <c r="A95" t="s">
        <v>249</v>
      </c>
      <c r="K95" t="s">
        <v>250</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C513-AE9A-BB4C-B69C-32064A47BBFD}">
  <dimension ref="A1:F4579"/>
  <sheetViews>
    <sheetView topLeftCell="F1" workbookViewId="0">
      <selection activeCell="I27" sqref="I27"/>
    </sheetView>
  </sheetViews>
  <sheetFormatPr baseColWidth="10" defaultRowHeight="16" x14ac:dyDescent="0.2"/>
  <cols>
    <col min="1" max="1" width="16.6640625" bestFit="1" customWidth="1"/>
    <col min="6" max="6" width="13.5" bestFit="1" customWidth="1"/>
  </cols>
  <sheetData>
    <row r="1" spans="1:6" x14ac:dyDescent="0.2">
      <c r="A1" t="s">
        <v>87</v>
      </c>
      <c r="B1" t="s">
        <v>88</v>
      </c>
      <c r="C1" t="s">
        <v>89</v>
      </c>
      <c r="D1" t="s">
        <v>90</v>
      </c>
      <c r="E1" t="s">
        <v>91</v>
      </c>
      <c r="F1" t="s">
        <v>92</v>
      </c>
    </row>
    <row r="2" spans="1:6" x14ac:dyDescent="0.2">
      <c r="A2">
        <v>736787.59310000006</v>
      </c>
      <c r="B2">
        <v>-149.59380200000001</v>
      </c>
      <c r="C2">
        <v>-17.015971</v>
      </c>
      <c r="D2">
        <v>183.76800093341001</v>
      </c>
      <c r="E2">
        <v>31.1</v>
      </c>
      <c r="F2">
        <v>11.0884000466705</v>
      </c>
    </row>
    <row r="3" spans="1:6" x14ac:dyDescent="0.2">
      <c r="A3">
        <v>736787.59310000006</v>
      </c>
      <c r="B3">
        <v>-149.593795</v>
      </c>
      <c r="C3">
        <v>-17.015962999999999</v>
      </c>
      <c r="D3">
        <v>183.76800093341001</v>
      </c>
      <c r="E3">
        <v>31.1</v>
      </c>
      <c r="F3">
        <v>11.0884000466705</v>
      </c>
    </row>
    <row r="4" spans="1:6" x14ac:dyDescent="0.2">
      <c r="A4">
        <v>736787.5932</v>
      </c>
      <c r="B4">
        <v>-149.59378899999999</v>
      </c>
      <c r="C4">
        <v>-17.015948999999999</v>
      </c>
      <c r="D4">
        <v>184.534400315428</v>
      </c>
      <c r="E4">
        <v>31.1</v>
      </c>
      <c r="F4">
        <v>11.1286400202775</v>
      </c>
    </row>
    <row r="5" spans="1:6" x14ac:dyDescent="0.2">
      <c r="A5">
        <v>736787.5932</v>
      </c>
      <c r="B5">
        <v>-149.59378599999999</v>
      </c>
      <c r="C5">
        <v>-17.015937000000001</v>
      </c>
      <c r="D5">
        <v>184.534400315428</v>
      </c>
      <c r="E5">
        <v>31.1</v>
      </c>
      <c r="F5">
        <v>11.1286400202775</v>
      </c>
    </row>
    <row r="6" spans="1:6" x14ac:dyDescent="0.2">
      <c r="A6">
        <v>736787.5932</v>
      </c>
      <c r="B6">
        <v>-149.593783</v>
      </c>
      <c r="C6">
        <v>-17.015927000000001</v>
      </c>
      <c r="D6">
        <v>184.534400315428</v>
      </c>
      <c r="E6">
        <v>31.1</v>
      </c>
      <c r="F6">
        <v>11.1286400202775</v>
      </c>
    </row>
    <row r="7" spans="1:6" x14ac:dyDescent="0.2">
      <c r="A7">
        <v>736787.5932</v>
      </c>
      <c r="B7">
        <v>-149.59377599999999</v>
      </c>
      <c r="C7">
        <v>-17.015915</v>
      </c>
      <c r="D7">
        <v>184.534400315428</v>
      </c>
      <c r="E7">
        <v>31.1</v>
      </c>
      <c r="F7">
        <v>11.1286400202775</v>
      </c>
    </row>
    <row r="8" spans="1:6" x14ac:dyDescent="0.2">
      <c r="A8">
        <v>736787.5932</v>
      </c>
      <c r="B8">
        <v>-149.593771</v>
      </c>
      <c r="C8">
        <v>-17.015903999999999</v>
      </c>
      <c r="D8">
        <v>184.534400315428</v>
      </c>
      <c r="E8">
        <v>31.1</v>
      </c>
      <c r="F8">
        <v>11.1286400202775</v>
      </c>
    </row>
    <row r="9" spans="1:6" x14ac:dyDescent="0.2">
      <c r="A9">
        <v>736787.5932</v>
      </c>
      <c r="B9">
        <v>-149.59375900000001</v>
      </c>
      <c r="C9">
        <v>-17.015889000000001</v>
      </c>
      <c r="D9">
        <v>184.534400315428</v>
      </c>
      <c r="E9">
        <v>31.1</v>
      </c>
      <c r="F9">
        <v>11.1286400202775</v>
      </c>
    </row>
    <row r="10" spans="1:6" x14ac:dyDescent="0.2">
      <c r="A10">
        <v>736787.5932</v>
      </c>
      <c r="B10">
        <v>-149.59375700000001</v>
      </c>
      <c r="C10">
        <v>-17.015879000000002</v>
      </c>
      <c r="D10">
        <v>184.534400315428</v>
      </c>
      <c r="E10">
        <v>31.1</v>
      </c>
      <c r="F10">
        <v>11.1286400202775</v>
      </c>
    </row>
    <row r="11" spans="1:6" x14ac:dyDescent="0.2">
      <c r="A11">
        <v>736787.59329999995</v>
      </c>
      <c r="B11">
        <v>-149.59375399999999</v>
      </c>
      <c r="C11">
        <v>-17.01587</v>
      </c>
      <c r="D11">
        <v>186.953597544171</v>
      </c>
      <c r="E11">
        <v>31.1</v>
      </c>
      <c r="F11">
        <v>11.275919859666899</v>
      </c>
    </row>
    <row r="12" spans="1:6" x14ac:dyDescent="0.2">
      <c r="A12">
        <v>736787.59329999995</v>
      </c>
      <c r="B12">
        <v>-149.593749</v>
      </c>
      <c r="C12">
        <v>-17.015857</v>
      </c>
      <c r="D12">
        <v>186.953597544171</v>
      </c>
      <c r="E12">
        <v>31.1</v>
      </c>
      <c r="F12">
        <v>11.275919859666899</v>
      </c>
    </row>
    <row r="13" spans="1:6" x14ac:dyDescent="0.2">
      <c r="A13">
        <v>736787.59329999995</v>
      </c>
      <c r="B13">
        <v>-149.59374800000001</v>
      </c>
      <c r="C13">
        <v>-17.015847999999998</v>
      </c>
      <c r="D13">
        <v>186.953597544171</v>
      </c>
      <c r="E13">
        <v>31.1</v>
      </c>
      <c r="F13">
        <v>11.275919859666899</v>
      </c>
    </row>
    <row r="14" spans="1:6" x14ac:dyDescent="0.2">
      <c r="A14">
        <v>736787.59329999995</v>
      </c>
      <c r="B14">
        <v>-149.59374800000001</v>
      </c>
      <c r="C14">
        <v>-17.015837999999999</v>
      </c>
      <c r="D14">
        <v>186.953597544171</v>
      </c>
      <c r="E14">
        <v>31.1</v>
      </c>
      <c r="F14">
        <v>11.275919859666899</v>
      </c>
    </row>
    <row r="15" spans="1:6" x14ac:dyDescent="0.2">
      <c r="A15">
        <v>736787.59329999995</v>
      </c>
      <c r="B15">
        <v>-149.59374800000001</v>
      </c>
      <c r="C15">
        <v>-17.015827000000002</v>
      </c>
      <c r="D15">
        <v>186.953597544171</v>
      </c>
      <c r="E15">
        <v>31.1</v>
      </c>
      <c r="F15">
        <v>11.275919859666899</v>
      </c>
    </row>
    <row r="16" spans="1:6" x14ac:dyDescent="0.2">
      <c r="A16">
        <v>736787.59329999995</v>
      </c>
      <c r="B16">
        <v>-149.59375</v>
      </c>
      <c r="C16">
        <v>-17.015810999999999</v>
      </c>
      <c r="D16">
        <v>186.953597544171</v>
      </c>
      <c r="E16">
        <v>31.1</v>
      </c>
      <c r="F16">
        <v>11.275919859666899</v>
      </c>
    </row>
    <row r="17" spans="1:6" x14ac:dyDescent="0.2">
      <c r="A17">
        <v>736787.59329999995</v>
      </c>
      <c r="B17">
        <v>-149.59375399999999</v>
      </c>
      <c r="C17">
        <v>-17.015801</v>
      </c>
      <c r="D17">
        <v>186.953597544171</v>
      </c>
      <c r="E17">
        <v>31.1</v>
      </c>
      <c r="F17">
        <v>11.275919859666899</v>
      </c>
    </row>
    <row r="18" spans="1:6" x14ac:dyDescent="0.2">
      <c r="A18">
        <v>736787.59340000001</v>
      </c>
      <c r="B18">
        <v>-149.59375299999999</v>
      </c>
      <c r="C18">
        <v>-17.015788000000001</v>
      </c>
      <c r="D18">
        <v>187.144799971032</v>
      </c>
      <c r="E18">
        <v>31.1</v>
      </c>
      <c r="F18">
        <v>11.294479997103201</v>
      </c>
    </row>
    <row r="19" spans="1:6" x14ac:dyDescent="0.2">
      <c r="A19">
        <v>736787.59340000001</v>
      </c>
      <c r="B19">
        <v>-149.59375800000001</v>
      </c>
      <c r="C19">
        <v>-17.015775000000001</v>
      </c>
      <c r="D19">
        <v>187.144799971032</v>
      </c>
      <c r="E19">
        <v>31.1</v>
      </c>
      <c r="F19">
        <v>11.294479997103201</v>
      </c>
    </row>
    <row r="20" spans="1:6" x14ac:dyDescent="0.2">
      <c r="A20">
        <v>736787.59340000001</v>
      </c>
      <c r="B20">
        <v>-149.593761</v>
      </c>
      <c r="C20">
        <v>-17.015763</v>
      </c>
      <c r="D20">
        <v>187.144799971032</v>
      </c>
      <c r="E20">
        <v>31.1</v>
      </c>
      <c r="F20">
        <v>11.294479997103201</v>
      </c>
    </row>
    <row r="21" spans="1:6" x14ac:dyDescent="0.2">
      <c r="A21">
        <v>736787.59349999996</v>
      </c>
      <c r="B21">
        <v>-149.59376499999999</v>
      </c>
      <c r="C21">
        <v>-17.015751999999999</v>
      </c>
      <c r="D21">
        <v>185.97200011265301</v>
      </c>
      <c r="E21">
        <v>31</v>
      </c>
      <c r="F21">
        <v>11.242799988734699</v>
      </c>
    </row>
    <row r="22" spans="1:6" x14ac:dyDescent="0.2">
      <c r="A22">
        <v>736787.59349999996</v>
      </c>
      <c r="B22">
        <v>-149.59376800000001</v>
      </c>
      <c r="C22">
        <v>-17.015740999999998</v>
      </c>
      <c r="D22">
        <v>185.97200011265301</v>
      </c>
      <c r="E22">
        <v>31</v>
      </c>
      <c r="F22">
        <v>11.242799988734699</v>
      </c>
    </row>
    <row r="23" spans="1:6" x14ac:dyDescent="0.2">
      <c r="A23">
        <v>736787.59349999996</v>
      </c>
      <c r="B23">
        <v>-149.59377699999999</v>
      </c>
      <c r="C23">
        <v>-17.015730999999999</v>
      </c>
      <c r="D23">
        <v>185.97200011265301</v>
      </c>
      <c r="E23">
        <v>31</v>
      </c>
      <c r="F23">
        <v>11.242799988734699</v>
      </c>
    </row>
    <row r="24" spans="1:6" x14ac:dyDescent="0.2">
      <c r="A24">
        <v>736787.59360000002</v>
      </c>
      <c r="B24">
        <v>-149.59378100000001</v>
      </c>
      <c r="C24">
        <v>-17.015723000000001</v>
      </c>
      <c r="D24">
        <v>184.29359971675899</v>
      </c>
      <c r="E24">
        <v>31</v>
      </c>
      <c r="F24">
        <v>11.149599982297399</v>
      </c>
    </row>
    <row r="25" spans="1:6" x14ac:dyDescent="0.2">
      <c r="A25">
        <v>736787.59360000002</v>
      </c>
      <c r="B25">
        <v>-149.59377900000001</v>
      </c>
      <c r="C25">
        <v>-17.015713000000002</v>
      </c>
      <c r="D25">
        <v>184.29359971675899</v>
      </c>
      <c r="E25">
        <v>31</v>
      </c>
      <c r="F25">
        <v>11.149599982297399</v>
      </c>
    </row>
    <row r="26" spans="1:6" x14ac:dyDescent="0.2">
      <c r="A26">
        <v>736787.59360000002</v>
      </c>
      <c r="B26">
        <v>-149.59378899999999</v>
      </c>
      <c r="C26">
        <v>-17.015709000000001</v>
      </c>
      <c r="D26">
        <v>184.29359971675899</v>
      </c>
      <c r="E26">
        <v>31</v>
      </c>
      <c r="F26">
        <v>11.149599982297399</v>
      </c>
    </row>
    <row r="27" spans="1:6" x14ac:dyDescent="0.2">
      <c r="A27">
        <v>736787.59369999997</v>
      </c>
      <c r="B27">
        <v>-149.59380200000001</v>
      </c>
      <c r="C27">
        <v>-17.015705000000001</v>
      </c>
      <c r="D27">
        <v>183.5</v>
      </c>
      <c r="E27">
        <v>31</v>
      </c>
      <c r="F27">
        <v>11.1</v>
      </c>
    </row>
    <row r="28" spans="1:6" x14ac:dyDescent="0.2">
      <c r="A28">
        <v>736787.59369999997</v>
      </c>
      <c r="B28">
        <v>-149.59381500000001</v>
      </c>
      <c r="C28">
        <v>-17.015701</v>
      </c>
      <c r="D28">
        <v>183.5</v>
      </c>
      <c r="E28">
        <v>31</v>
      </c>
      <c r="F28">
        <v>11.1</v>
      </c>
    </row>
    <row r="29" spans="1:6" x14ac:dyDescent="0.2">
      <c r="A29">
        <v>736787.59369999997</v>
      </c>
      <c r="B29">
        <v>-149.59382500000001</v>
      </c>
      <c r="C29">
        <v>-17.015694</v>
      </c>
      <c r="D29">
        <v>183.5</v>
      </c>
      <c r="E29">
        <v>31</v>
      </c>
      <c r="F29">
        <v>11.1</v>
      </c>
    </row>
    <row r="30" spans="1:6" x14ac:dyDescent="0.2">
      <c r="A30">
        <v>736787.59369999997</v>
      </c>
      <c r="B30">
        <v>-149.59383399999999</v>
      </c>
      <c r="C30">
        <v>-17.015684</v>
      </c>
      <c r="D30">
        <v>183.5</v>
      </c>
      <c r="E30">
        <v>31</v>
      </c>
      <c r="F30">
        <v>11.1</v>
      </c>
    </row>
    <row r="31" spans="1:6" x14ac:dyDescent="0.2">
      <c r="A31">
        <v>736787.59369999997</v>
      </c>
      <c r="B31">
        <v>-149.59383700000001</v>
      </c>
      <c r="C31">
        <v>-17.01568</v>
      </c>
      <c r="D31">
        <v>183.5</v>
      </c>
      <c r="E31">
        <v>31</v>
      </c>
      <c r="F31">
        <v>11.1</v>
      </c>
    </row>
    <row r="32" spans="1:6" x14ac:dyDescent="0.2">
      <c r="A32">
        <v>736787.59380000003</v>
      </c>
      <c r="B32">
        <v>-149.59383800000001</v>
      </c>
      <c r="C32">
        <v>-17.01567</v>
      </c>
      <c r="D32">
        <v>183.71439983262999</v>
      </c>
      <c r="E32">
        <v>31</v>
      </c>
      <c r="F32">
        <v>11.1160799874473</v>
      </c>
    </row>
    <row r="33" spans="1:6" x14ac:dyDescent="0.2">
      <c r="A33">
        <v>736787.59380000003</v>
      </c>
      <c r="B33">
        <v>-149.59384800000001</v>
      </c>
      <c r="C33">
        <v>-17.015656</v>
      </c>
      <c r="D33">
        <v>183.71439983262999</v>
      </c>
      <c r="E33">
        <v>31</v>
      </c>
      <c r="F33">
        <v>11.1160799874473</v>
      </c>
    </row>
    <row r="34" spans="1:6" x14ac:dyDescent="0.2">
      <c r="A34">
        <v>736787.59380000003</v>
      </c>
      <c r="B34">
        <v>-149.59385499999999</v>
      </c>
      <c r="C34">
        <v>-17.015647000000001</v>
      </c>
      <c r="D34">
        <v>183.71439983262999</v>
      </c>
      <c r="E34">
        <v>31</v>
      </c>
      <c r="F34">
        <v>11.1160799874473</v>
      </c>
    </row>
    <row r="35" spans="1:6" x14ac:dyDescent="0.2">
      <c r="A35">
        <v>736787.59380000003</v>
      </c>
      <c r="B35">
        <v>-149.593861</v>
      </c>
      <c r="C35">
        <v>-17.015637999999999</v>
      </c>
      <c r="D35">
        <v>183.71439983262999</v>
      </c>
      <c r="E35">
        <v>31</v>
      </c>
      <c r="F35">
        <v>11.1160799874473</v>
      </c>
    </row>
    <row r="36" spans="1:6" x14ac:dyDescent="0.2">
      <c r="A36">
        <v>736787.59389999998</v>
      </c>
      <c r="B36">
        <v>-149.59386799999999</v>
      </c>
      <c r="C36">
        <v>-17.015628</v>
      </c>
      <c r="D36">
        <v>184.1</v>
      </c>
      <c r="E36">
        <v>30.980799954938899</v>
      </c>
      <c r="F36">
        <v>11.141920004506099</v>
      </c>
    </row>
    <row r="37" spans="1:6" x14ac:dyDescent="0.2">
      <c r="A37">
        <v>736787.59389999998</v>
      </c>
      <c r="B37">
        <v>-149.593872</v>
      </c>
      <c r="C37">
        <v>-17.015619000000001</v>
      </c>
      <c r="D37">
        <v>184.1</v>
      </c>
      <c r="E37">
        <v>30.980799954938899</v>
      </c>
      <c r="F37">
        <v>11.141920004506099</v>
      </c>
    </row>
    <row r="38" spans="1:6" x14ac:dyDescent="0.2">
      <c r="A38">
        <v>736787.59389999998</v>
      </c>
      <c r="B38">
        <v>-149.59388100000001</v>
      </c>
      <c r="C38">
        <v>-17.015606999999999</v>
      </c>
      <c r="D38">
        <v>184.1</v>
      </c>
      <c r="E38">
        <v>30.980799954938899</v>
      </c>
      <c r="F38">
        <v>11.141920004506099</v>
      </c>
    </row>
    <row r="39" spans="1:6" x14ac:dyDescent="0.2">
      <c r="A39">
        <v>736787.59389999998</v>
      </c>
      <c r="B39">
        <v>-149.59389300000001</v>
      </c>
      <c r="C39">
        <v>-17.015598000000001</v>
      </c>
      <c r="D39">
        <v>184.1</v>
      </c>
      <c r="E39">
        <v>30.980799954938899</v>
      </c>
      <c r="F39">
        <v>11.141920004506099</v>
      </c>
    </row>
    <row r="40" spans="1:6" x14ac:dyDescent="0.2">
      <c r="A40">
        <v>736787.59400000004</v>
      </c>
      <c r="B40">
        <v>-149.593898</v>
      </c>
      <c r="C40">
        <v>-17.015588999999999</v>
      </c>
      <c r="D40">
        <v>183.08799946892299</v>
      </c>
      <c r="E40">
        <v>30.9</v>
      </c>
      <c r="F40">
        <v>11.0855999662042</v>
      </c>
    </row>
    <row r="41" spans="1:6" x14ac:dyDescent="0.2">
      <c r="A41">
        <v>736787.59400000004</v>
      </c>
      <c r="B41">
        <v>-149.593906</v>
      </c>
      <c r="C41">
        <v>-17.015581999999998</v>
      </c>
      <c r="D41">
        <v>183.08799946892299</v>
      </c>
      <c r="E41">
        <v>30.9</v>
      </c>
      <c r="F41">
        <v>11.0855999662042</v>
      </c>
    </row>
    <row r="42" spans="1:6" x14ac:dyDescent="0.2">
      <c r="A42">
        <v>736787.59400000004</v>
      </c>
      <c r="B42">
        <v>-149.59391500000001</v>
      </c>
      <c r="C42">
        <v>-17.015577</v>
      </c>
      <c r="D42">
        <v>183.08799946892299</v>
      </c>
      <c r="E42">
        <v>30.9</v>
      </c>
      <c r="F42">
        <v>11.0855999662042</v>
      </c>
    </row>
    <row r="43" spans="1:6" x14ac:dyDescent="0.2">
      <c r="A43">
        <v>736787.59400000004</v>
      </c>
      <c r="B43">
        <v>-149.59392500000001</v>
      </c>
      <c r="C43">
        <v>-17.015574999999998</v>
      </c>
      <c r="D43">
        <v>183.08799946892299</v>
      </c>
      <c r="E43">
        <v>30.9</v>
      </c>
      <c r="F43">
        <v>11.0855999662042</v>
      </c>
    </row>
    <row r="44" spans="1:6" x14ac:dyDescent="0.2">
      <c r="A44">
        <v>736787.59409999999</v>
      </c>
      <c r="B44">
        <v>-149.59393600000001</v>
      </c>
      <c r="C44">
        <v>-17.015564999999999</v>
      </c>
      <c r="D44">
        <v>181</v>
      </c>
      <c r="E44">
        <v>30.8</v>
      </c>
      <c r="F44">
        <v>10.98</v>
      </c>
    </row>
    <row r="45" spans="1:6" x14ac:dyDescent="0.2">
      <c r="A45">
        <v>736787.59409999999</v>
      </c>
      <c r="B45">
        <v>-149.593942</v>
      </c>
      <c r="C45">
        <v>-17.015553000000001</v>
      </c>
      <c r="D45">
        <v>181</v>
      </c>
      <c r="E45">
        <v>30.8</v>
      </c>
      <c r="F45">
        <v>10.98</v>
      </c>
    </row>
    <row r="46" spans="1:6" x14ac:dyDescent="0.2">
      <c r="A46">
        <v>736787.59409999999</v>
      </c>
      <c r="B46">
        <v>-149.59394700000001</v>
      </c>
      <c r="C46">
        <v>-17.015542</v>
      </c>
      <c r="D46">
        <v>181</v>
      </c>
      <c r="E46">
        <v>30.8</v>
      </c>
      <c r="F46">
        <v>10.98</v>
      </c>
    </row>
    <row r="47" spans="1:6" x14ac:dyDescent="0.2">
      <c r="A47">
        <v>736787.59409999999</v>
      </c>
      <c r="B47">
        <v>-149.593951</v>
      </c>
      <c r="C47">
        <v>-17.015529000000001</v>
      </c>
      <c r="D47">
        <v>181</v>
      </c>
      <c r="E47">
        <v>30.8</v>
      </c>
      <c r="F47">
        <v>10.98</v>
      </c>
    </row>
    <row r="48" spans="1:6" x14ac:dyDescent="0.2">
      <c r="A48">
        <v>736787.59409999999</v>
      </c>
      <c r="B48">
        <v>-149.59395499999999</v>
      </c>
      <c r="C48">
        <v>-17.015521</v>
      </c>
      <c r="D48">
        <v>181</v>
      </c>
      <c r="E48">
        <v>30.8</v>
      </c>
      <c r="F48">
        <v>10.98</v>
      </c>
    </row>
    <row r="49" spans="1:6" x14ac:dyDescent="0.2">
      <c r="A49">
        <v>736787.59420000005</v>
      </c>
      <c r="B49">
        <v>-149.59395599999999</v>
      </c>
      <c r="C49">
        <v>-17.015509000000002</v>
      </c>
      <c r="D49">
        <v>179.93679961698101</v>
      </c>
      <c r="E49">
        <v>30.8</v>
      </c>
      <c r="F49">
        <v>10.9187199835849</v>
      </c>
    </row>
    <row r="50" spans="1:6" x14ac:dyDescent="0.2">
      <c r="A50">
        <v>736787.59420000005</v>
      </c>
      <c r="B50">
        <v>-149.59395599999999</v>
      </c>
      <c r="C50">
        <v>-17.015498999999998</v>
      </c>
      <c r="D50">
        <v>179.93679961698101</v>
      </c>
      <c r="E50">
        <v>30.8</v>
      </c>
      <c r="F50">
        <v>10.9187199835849</v>
      </c>
    </row>
    <row r="51" spans="1:6" x14ac:dyDescent="0.2">
      <c r="A51">
        <v>736787.59420000005</v>
      </c>
      <c r="B51">
        <v>-149.593963</v>
      </c>
      <c r="C51">
        <v>-17.015488999999999</v>
      </c>
      <c r="D51">
        <v>179.93679961698101</v>
      </c>
      <c r="E51">
        <v>30.8</v>
      </c>
      <c r="F51">
        <v>10.9187199835849</v>
      </c>
    </row>
    <row r="52" spans="1:6" x14ac:dyDescent="0.2">
      <c r="A52">
        <v>736787.59420000005</v>
      </c>
      <c r="B52">
        <v>-149.59396599999999</v>
      </c>
      <c r="C52">
        <v>-17.015463</v>
      </c>
      <c r="D52">
        <v>179.93679961698101</v>
      </c>
      <c r="E52">
        <v>30.8</v>
      </c>
      <c r="F52">
        <v>10.9187199835849</v>
      </c>
    </row>
    <row r="53" spans="1:6" x14ac:dyDescent="0.2">
      <c r="A53">
        <v>736787.59420000005</v>
      </c>
      <c r="B53">
        <v>-149.59396899999999</v>
      </c>
      <c r="C53">
        <v>-17.015446000000001</v>
      </c>
      <c r="D53">
        <v>179.93679961698101</v>
      </c>
      <c r="E53">
        <v>30.8</v>
      </c>
      <c r="F53">
        <v>10.9187199835849</v>
      </c>
    </row>
    <row r="54" spans="1:6" x14ac:dyDescent="0.2">
      <c r="A54">
        <v>736787.5943</v>
      </c>
      <c r="B54">
        <v>-149.59396699999999</v>
      </c>
      <c r="C54">
        <v>-17.015432000000001</v>
      </c>
      <c r="D54">
        <v>179.38559936270801</v>
      </c>
      <c r="E54">
        <v>30.7</v>
      </c>
      <c r="F54">
        <v>10.893759965238599</v>
      </c>
    </row>
    <row r="55" spans="1:6" x14ac:dyDescent="0.2">
      <c r="A55">
        <v>736787.5943</v>
      </c>
      <c r="B55">
        <v>-149.593976</v>
      </c>
      <c r="C55">
        <v>-17.015419000000001</v>
      </c>
      <c r="D55">
        <v>179.38559936270801</v>
      </c>
      <c r="E55">
        <v>30.7</v>
      </c>
      <c r="F55">
        <v>10.893759965238599</v>
      </c>
    </row>
    <row r="56" spans="1:6" x14ac:dyDescent="0.2">
      <c r="A56">
        <v>736787.5943</v>
      </c>
      <c r="B56">
        <v>-149.59397799999999</v>
      </c>
      <c r="C56">
        <v>-17.015408999999998</v>
      </c>
      <c r="D56">
        <v>179.38559936270801</v>
      </c>
      <c r="E56">
        <v>30.7</v>
      </c>
      <c r="F56">
        <v>10.893759965238599</v>
      </c>
    </row>
    <row r="57" spans="1:6" x14ac:dyDescent="0.2">
      <c r="A57">
        <v>736787.5943</v>
      </c>
      <c r="B57">
        <v>-149.59397999999999</v>
      </c>
      <c r="C57">
        <v>-17.015395000000002</v>
      </c>
      <c r="D57">
        <v>179.38559936270801</v>
      </c>
      <c r="E57">
        <v>30.7</v>
      </c>
      <c r="F57">
        <v>10.893759965238599</v>
      </c>
    </row>
    <row r="58" spans="1:6" x14ac:dyDescent="0.2">
      <c r="A58">
        <v>736787.5943</v>
      </c>
      <c r="B58">
        <v>-149.59397999999999</v>
      </c>
      <c r="C58">
        <v>-17.015384000000001</v>
      </c>
      <c r="D58">
        <v>179.38559936270801</v>
      </c>
      <c r="E58">
        <v>30.7</v>
      </c>
      <c r="F58">
        <v>10.893759965238599</v>
      </c>
    </row>
    <row r="59" spans="1:6" x14ac:dyDescent="0.2">
      <c r="A59">
        <v>736787.59439999994</v>
      </c>
      <c r="B59">
        <v>-149.59398999999999</v>
      </c>
      <c r="C59">
        <v>-17.015370999999998</v>
      </c>
      <c r="D59">
        <v>178.06720056004499</v>
      </c>
      <c r="E59">
        <v>30.7</v>
      </c>
      <c r="F59">
        <v>10.823360028002201</v>
      </c>
    </row>
    <row r="60" spans="1:6" x14ac:dyDescent="0.2">
      <c r="A60">
        <v>736787.59439999994</v>
      </c>
      <c r="B60">
        <v>-149.59399199999999</v>
      </c>
      <c r="C60">
        <v>-17.015360000000001</v>
      </c>
      <c r="D60">
        <v>178.06720056004499</v>
      </c>
      <c r="E60">
        <v>30.7</v>
      </c>
      <c r="F60">
        <v>10.823360028002201</v>
      </c>
    </row>
    <row r="61" spans="1:6" x14ac:dyDescent="0.2">
      <c r="A61">
        <v>736787.59439999994</v>
      </c>
      <c r="B61">
        <v>-149.593996</v>
      </c>
      <c r="C61">
        <v>-17.015352</v>
      </c>
      <c r="D61">
        <v>178.06720056004499</v>
      </c>
      <c r="E61">
        <v>30.7</v>
      </c>
      <c r="F61">
        <v>10.823360028002201</v>
      </c>
    </row>
    <row r="62" spans="1:6" x14ac:dyDescent="0.2">
      <c r="A62">
        <v>736787.59439999994</v>
      </c>
      <c r="B62">
        <v>-149.59400199999999</v>
      </c>
      <c r="C62">
        <v>-17.015335</v>
      </c>
      <c r="D62">
        <v>178.06720056004499</v>
      </c>
      <c r="E62">
        <v>30.7</v>
      </c>
      <c r="F62">
        <v>10.823360028002201</v>
      </c>
    </row>
    <row r="63" spans="1:6" x14ac:dyDescent="0.2">
      <c r="A63">
        <v>736787.59439999994</v>
      </c>
      <c r="B63">
        <v>-149.59400500000001</v>
      </c>
      <c r="C63">
        <v>-17.015325000000001</v>
      </c>
      <c r="D63">
        <v>178.06720056004499</v>
      </c>
      <c r="E63">
        <v>30.7</v>
      </c>
      <c r="F63">
        <v>10.823360028002201</v>
      </c>
    </row>
    <row r="64" spans="1:6" x14ac:dyDescent="0.2">
      <c r="A64">
        <v>736787.59439999994</v>
      </c>
      <c r="B64">
        <v>-149.59401399999999</v>
      </c>
      <c r="C64">
        <v>-17.015314</v>
      </c>
      <c r="D64">
        <v>178.06720056004499</v>
      </c>
      <c r="E64">
        <v>30.7</v>
      </c>
      <c r="F64">
        <v>10.823360028002201</v>
      </c>
    </row>
    <row r="65" spans="1:6" x14ac:dyDescent="0.2">
      <c r="A65">
        <v>736787.59439999994</v>
      </c>
      <c r="B65">
        <v>-149.59401800000001</v>
      </c>
      <c r="C65">
        <v>-17.015304</v>
      </c>
      <c r="D65">
        <v>178.06720056004499</v>
      </c>
      <c r="E65">
        <v>30.7</v>
      </c>
      <c r="F65">
        <v>10.823360028002201</v>
      </c>
    </row>
    <row r="66" spans="1:6" x14ac:dyDescent="0.2">
      <c r="A66">
        <v>736787.59450000001</v>
      </c>
      <c r="B66">
        <v>-149.59402399999999</v>
      </c>
      <c r="C66">
        <v>-17.015294999999998</v>
      </c>
      <c r="D66">
        <v>177.39599942064299</v>
      </c>
      <c r="E66">
        <v>30.7</v>
      </c>
      <c r="F66">
        <v>10.786399961376199</v>
      </c>
    </row>
    <row r="67" spans="1:6" x14ac:dyDescent="0.2">
      <c r="A67">
        <v>736787.59450000001</v>
      </c>
      <c r="B67">
        <v>-149.59403499999999</v>
      </c>
      <c r="C67">
        <v>-17.015286</v>
      </c>
      <c r="D67">
        <v>177.39599942064299</v>
      </c>
      <c r="E67">
        <v>30.7</v>
      </c>
      <c r="F67">
        <v>10.786399961376199</v>
      </c>
    </row>
    <row r="68" spans="1:6" x14ac:dyDescent="0.2">
      <c r="A68">
        <v>736787.59450000001</v>
      </c>
      <c r="B68">
        <v>-149.594044</v>
      </c>
      <c r="C68">
        <v>-17.015274000000002</v>
      </c>
      <c r="D68">
        <v>177.39599942064299</v>
      </c>
      <c r="E68">
        <v>30.7</v>
      </c>
      <c r="F68">
        <v>10.786399961376199</v>
      </c>
    </row>
    <row r="69" spans="1:6" x14ac:dyDescent="0.2">
      <c r="A69">
        <v>736787.59450000001</v>
      </c>
      <c r="B69">
        <v>-149.594052</v>
      </c>
      <c r="C69">
        <v>-17.015263000000001</v>
      </c>
      <c r="D69">
        <v>177.39599942064299</v>
      </c>
      <c r="E69">
        <v>30.7</v>
      </c>
      <c r="F69">
        <v>10.786399961376199</v>
      </c>
    </row>
    <row r="70" spans="1:6" x14ac:dyDescent="0.2">
      <c r="A70">
        <v>736787.59459999995</v>
      </c>
      <c r="B70">
        <v>-149.59406200000001</v>
      </c>
      <c r="C70">
        <v>-17.015253999999999</v>
      </c>
      <c r="D70">
        <v>174.63920213718299</v>
      </c>
      <c r="E70">
        <v>30.6</v>
      </c>
      <c r="F70">
        <v>10.624080120216499</v>
      </c>
    </row>
    <row r="71" spans="1:6" x14ac:dyDescent="0.2">
      <c r="A71">
        <v>736787.59459999995</v>
      </c>
      <c r="B71">
        <v>-149.59406899999999</v>
      </c>
      <c r="C71">
        <v>-17.015243000000002</v>
      </c>
      <c r="D71">
        <v>174.63920213718299</v>
      </c>
      <c r="E71">
        <v>30.6</v>
      </c>
      <c r="F71">
        <v>10.624080120216499</v>
      </c>
    </row>
    <row r="72" spans="1:6" x14ac:dyDescent="0.2">
      <c r="A72">
        <v>736787.59459999995</v>
      </c>
      <c r="B72">
        <v>-149.59407200000001</v>
      </c>
      <c r="C72">
        <v>-17.015231</v>
      </c>
      <c r="D72">
        <v>174.63920213718299</v>
      </c>
      <c r="E72">
        <v>30.6</v>
      </c>
      <c r="F72">
        <v>10.624080120216499</v>
      </c>
    </row>
    <row r="73" spans="1:6" x14ac:dyDescent="0.2">
      <c r="A73">
        <v>736787.59470000002</v>
      </c>
      <c r="B73">
        <v>-149.59407400000001</v>
      </c>
      <c r="C73">
        <v>-17.015221</v>
      </c>
      <c r="D73">
        <v>173.47599893784599</v>
      </c>
      <c r="E73">
        <v>30.6</v>
      </c>
      <c r="F73">
        <v>10.5585599362708</v>
      </c>
    </row>
    <row r="74" spans="1:6" x14ac:dyDescent="0.2">
      <c r="A74">
        <v>736787.59470000002</v>
      </c>
      <c r="B74">
        <v>-149.594076</v>
      </c>
      <c r="C74">
        <v>-17.015205000000002</v>
      </c>
      <c r="D74">
        <v>173.47599893784599</v>
      </c>
      <c r="E74">
        <v>30.6</v>
      </c>
      <c r="F74">
        <v>10.5585599362708</v>
      </c>
    </row>
    <row r="75" spans="1:6" x14ac:dyDescent="0.2">
      <c r="A75">
        <v>736787.59470000002</v>
      </c>
      <c r="B75">
        <v>-149.59408199999999</v>
      </c>
      <c r="C75">
        <v>-17.015197000000001</v>
      </c>
      <c r="D75">
        <v>173.47599893784599</v>
      </c>
      <c r="E75">
        <v>30.6</v>
      </c>
      <c r="F75">
        <v>10.5585599362708</v>
      </c>
    </row>
    <row r="76" spans="1:6" x14ac:dyDescent="0.2">
      <c r="A76">
        <v>736787.59479999996</v>
      </c>
      <c r="B76">
        <v>-149.594087</v>
      </c>
      <c r="C76">
        <v>-17.015181999999999</v>
      </c>
      <c r="D76">
        <v>171.25600127136599</v>
      </c>
      <c r="E76">
        <v>30.6</v>
      </c>
      <c r="F76">
        <v>10.432800063568299</v>
      </c>
    </row>
    <row r="77" spans="1:6" x14ac:dyDescent="0.2">
      <c r="A77">
        <v>736787.59479999996</v>
      </c>
      <c r="B77">
        <v>-149.59409199999999</v>
      </c>
      <c r="C77">
        <v>-17.015170000000001</v>
      </c>
      <c r="D77">
        <v>171.25600127136599</v>
      </c>
      <c r="E77">
        <v>30.6</v>
      </c>
      <c r="F77">
        <v>10.432800063568299</v>
      </c>
    </row>
    <row r="78" spans="1:6" x14ac:dyDescent="0.2">
      <c r="A78">
        <v>736787.59479999996</v>
      </c>
      <c r="B78">
        <v>-149.5941</v>
      </c>
      <c r="C78">
        <v>-17.015158</v>
      </c>
      <c r="D78">
        <v>171.25600127136599</v>
      </c>
      <c r="E78">
        <v>30.6</v>
      </c>
      <c r="F78">
        <v>10.432800063568299</v>
      </c>
    </row>
    <row r="79" spans="1:6" x14ac:dyDescent="0.2">
      <c r="A79">
        <v>736787.59479999996</v>
      </c>
      <c r="B79">
        <v>-149.59410600000001</v>
      </c>
      <c r="C79">
        <v>-17.015149000000001</v>
      </c>
      <c r="D79">
        <v>171.25600127136599</v>
      </c>
      <c r="E79">
        <v>30.6</v>
      </c>
      <c r="F79">
        <v>10.432800063568299</v>
      </c>
    </row>
    <row r="80" spans="1:6" x14ac:dyDescent="0.2">
      <c r="A80">
        <v>736787.59490000003</v>
      </c>
      <c r="B80">
        <v>-149.59411499999999</v>
      </c>
      <c r="C80">
        <v>-17.015135999999998</v>
      </c>
      <c r="D80">
        <v>170.62239938201901</v>
      </c>
      <c r="E80">
        <v>30.5</v>
      </c>
      <c r="F80">
        <v>10.396399961376201</v>
      </c>
    </row>
    <row r="81" spans="1:6" x14ac:dyDescent="0.2">
      <c r="A81">
        <v>736787.59490000003</v>
      </c>
      <c r="B81">
        <v>-149.59412699999999</v>
      </c>
      <c r="C81">
        <v>-17.015124</v>
      </c>
      <c r="D81">
        <v>170.62239938201901</v>
      </c>
      <c r="E81">
        <v>30.5</v>
      </c>
      <c r="F81">
        <v>10.396399961376201</v>
      </c>
    </row>
    <row r="82" spans="1:6" x14ac:dyDescent="0.2">
      <c r="A82">
        <v>736787.59490000003</v>
      </c>
      <c r="B82">
        <v>-149.59413799999999</v>
      </c>
      <c r="C82">
        <v>-17.015117</v>
      </c>
      <c r="D82">
        <v>170.62239938201901</v>
      </c>
      <c r="E82">
        <v>30.5</v>
      </c>
      <c r="F82">
        <v>10.396399961376201</v>
      </c>
    </row>
    <row r="83" spans="1:6" x14ac:dyDescent="0.2">
      <c r="A83">
        <v>736787.59490000003</v>
      </c>
      <c r="B83">
        <v>-149.59414799999999</v>
      </c>
      <c r="C83">
        <v>-17.015111000000001</v>
      </c>
      <c r="D83">
        <v>170.62239938201901</v>
      </c>
      <c r="E83">
        <v>30.5</v>
      </c>
      <c r="F83">
        <v>10.396399961376201</v>
      </c>
    </row>
    <row r="84" spans="1:6" x14ac:dyDescent="0.2">
      <c r="A84">
        <v>736787.59499999997</v>
      </c>
      <c r="B84">
        <v>-149.59415799999999</v>
      </c>
      <c r="C84">
        <v>-17.015104999999998</v>
      </c>
      <c r="D84">
        <v>170</v>
      </c>
      <c r="E84">
        <v>30.5</v>
      </c>
      <c r="F84">
        <v>10.36</v>
      </c>
    </row>
    <row r="85" spans="1:6" x14ac:dyDescent="0.2">
      <c r="A85">
        <v>736787.59499999997</v>
      </c>
      <c r="B85">
        <v>-149.594167</v>
      </c>
      <c r="C85">
        <v>-17.015101000000001</v>
      </c>
      <c r="D85">
        <v>170</v>
      </c>
      <c r="E85">
        <v>30.5</v>
      </c>
      <c r="F85">
        <v>10.36</v>
      </c>
    </row>
    <row r="86" spans="1:6" x14ac:dyDescent="0.2">
      <c r="A86">
        <v>736787.59499999997</v>
      </c>
      <c r="B86">
        <v>-149.594179</v>
      </c>
      <c r="C86">
        <v>-17.0151</v>
      </c>
      <c r="D86">
        <v>170</v>
      </c>
      <c r="E86">
        <v>30.5</v>
      </c>
      <c r="F86">
        <v>10.36</v>
      </c>
    </row>
    <row r="87" spans="1:6" x14ac:dyDescent="0.2">
      <c r="A87">
        <v>736787.59510000004</v>
      </c>
      <c r="B87">
        <v>-149.594189</v>
      </c>
      <c r="C87">
        <v>-17.015096</v>
      </c>
      <c r="D87">
        <v>169.44319949789099</v>
      </c>
      <c r="E87">
        <v>30.5</v>
      </c>
      <c r="F87">
        <v>10.3228799665261</v>
      </c>
    </row>
    <row r="88" spans="1:6" x14ac:dyDescent="0.2">
      <c r="A88">
        <v>736787.59510000004</v>
      </c>
      <c r="B88">
        <v>-149.59419800000001</v>
      </c>
      <c r="C88">
        <v>-17.015094999999999</v>
      </c>
      <c r="D88">
        <v>169.44319949789099</v>
      </c>
      <c r="E88">
        <v>30.5</v>
      </c>
      <c r="F88">
        <v>10.3228799665261</v>
      </c>
    </row>
    <row r="89" spans="1:6" x14ac:dyDescent="0.2">
      <c r="A89">
        <v>736787.59510000004</v>
      </c>
      <c r="B89">
        <v>-149.594201</v>
      </c>
      <c r="C89">
        <v>-17.015096</v>
      </c>
      <c r="D89">
        <v>169.44319949789099</v>
      </c>
      <c r="E89">
        <v>30.5</v>
      </c>
      <c r="F89">
        <v>10.3228799665261</v>
      </c>
    </row>
    <row r="90" spans="1:6" x14ac:dyDescent="0.2">
      <c r="A90">
        <v>736787.59519999998</v>
      </c>
      <c r="B90">
        <v>-149.594211</v>
      </c>
      <c r="C90">
        <v>-17.015097999999998</v>
      </c>
      <c r="D90">
        <v>169.4</v>
      </c>
      <c r="E90">
        <v>30.5</v>
      </c>
      <c r="F90">
        <v>10.3265600017703</v>
      </c>
    </row>
    <row r="91" spans="1:6" x14ac:dyDescent="0.2">
      <c r="A91">
        <v>736787.59530000004</v>
      </c>
      <c r="B91">
        <v>-149.59422000000001</v>
      </c>
      <c r="C91">
        <v>-17.015093</v>
      </c>
      <c r="D91">
        <v>167.26239873828999</v>
      </c>
      <c r="E91">
        <v>30.461599909877801</v>
      </c>
      <c r="F91">
        <v>10.1992799279023</v>
      </c>
    </row>
    <row r="92" spans="1:6" x14ac:dyDescent="0.2">
      <c r="A92">
        <v>736787.59539999999</v>
      </c>
      <c r="B92">
        <v>-149.59423000000001</v>
      </c>
      <c r="C92">
        <v>-17.015093</v>
      </c>
      <c r="D92">
        <v>165.3</v>
      </c>
      <c r="E92">
        <v>30.4</v>
      </c>
      <c r="F92">
        <v>10.09</v>
      </c>
    </row>
    <row r="93" spans="1:6" x14ac:dyDescent="0.2">
      <c r="A93">
        <v>736787.59539999999</v>
      </c>
      <c r="B93">
        <v>-149.59424200000001</v>
      </c>
      <c r="C93">
        <v>-17.015090000000001</v>
      </c>
      <c r="D93">
        <v>165.3</v>
      </c>
      <c r="E93">
        <v>30.4</v>
      </c>
      <c r="F93">
        <v>10.09</v>
      </c>
    </row>
    <row r="94" spans="1:6" x14ac:dyDescent="0.2">
      <c r="A94">
        <v>736787.59550000005</v>
      </c>
      <c r="B94">
        <v>-149.59425400000001</v>
      </c>
      <c r="C94">
        <v>-17.015082</v>
      </c>
      <c r="D94">
        <v>164.459999034405</v>
      </c>
      <c r="E94">
        <v>30.4</v>
      </c>
      <c r="F94">
        <v>10.039599942064299</v>
      </c>
    </row>
    <row r="95" spans="1:6" x14ac:dyDescent="0.2">
      <c r="A95">
        <v>736787.59550000005</v>
      </c>
      <c r="B95">
        <v>-149.59426199999999</v>
      </c>
      <c r="C95">
        <v>-17.015077000000002</v>
      </c>
      <c r="D95">
        <v>164.459999034405</v>
      </c>
      <c r="E95">
        <v>30.4</v>
      </c>
      <c r="F95">
        <v>10.039599942064299</v>
      </c>
    </row>
    <row r="96" spans="1:6" x14ac:dyDescent="0.2">
      <c r="A96">
        <v>736787.59550000005</v>
      </c>
      <c r="B96">
        <v>-149.59427099999999</v>
      </c>
      <c r="C96">
        <v>-17.015073000000001</v>
      </c>
      <c r="D96">
        <v>164.459999034405</v>
      </c>
      <c r="E96">
        <v>30.4</v>
      </c>
      <c r="F96">
        <v>10.039599942064299</v>
      </c>
    </row>
    <row r="97" spans="1:6" x14ac:dyDescent="0.2">
      <c r="A97">
        <v>736787.59550000005</v>
      </c>
      <c r="B97">
        <v>-149.594279</v>
      </c>
      <c r="C97">
        <v>-17.015063999999999</v>
      </c>
      <c r="D97">
        <v>164.459999034405</v>
      </c>
      <c r="E97">
        <v>30.4</v>
      </c>
      <c r="F97">
        <v>10.039599942064299</v>
      </c>
    </row>
    <row r="98" spans="1:6" x14ac:dyDescent="0.2">
      <c r="A98">
        <v>736787.59550000005</v>
      </c>
      <c r="B98">
        <v>-149.59429299999999</v>
      </c>
      <c r="C98">
        <v>-17.015055</v>
      </c>
      <c r="D98">
        <v>164.459999034405</v>
      </c>
      <c r="E98">
        <v>30.4</v>
      </c>
      <c r="F98">
        <v>10.039599942064299</v>
      </c>
    </row>
    <row r="99" spans="1:6" x14ac:dyDescent="0.2">
      <c r="A99">
        <v>736787.59550000005</v>
      </c>
      <c r="B99">
        <v>-149.59429800000001</v>
      </c>
      <c r="C99">
        <v>-17.015046999999999</v>
      </c>
      <c r="D99">
        <v>164.459999034405</v>
      </c>
      <c r="E99">
        <v>30.4</v>
      </c>
      <c r="F99">
        <v>10.039599942064299</v>
      </c>
    </row>
    <row r="100" spans="1:6" x14ac:dyDescent="0.2">
      <c r="A100">
        <v>736787.5956</v>
      </c>
      <c r="B100">
        <v>-149.59430900000001</v>
      </c>
      <c r="C100">
        <v>-17.015037</v>
      </c>
      <c r="D100">
        <v>163</v>
      </c>
      <c r="E100">
        <v>30.3</v>
      </c>
      <c r="F100">
        <v>9.9600000000000009</v>
      </c>
    </row>
    <row r="101" spans="1:6" x14ac:dyDescent="0.2">
      <c r="A101">
        <v>736787.5956</v>
      </c>
      <c r="B101">
        <v>-149.59431799999999</v>
      </c>
      <c r="C101">
        <v>-17.015027</v>
      </c>
      <c r="D101">
        <v>163</v>
      </c>
      <c r="E101">
        <v>30.3</v>
      </c>
      <c r="F101">
        <v>9.9600000000000009</v>
      </c>
    </row>
    <row r="102" spans="1:6" x14ac:dyDescent="0.2">
      <c r="A102">
        <v>736787.5956</v>
      </c>
      <c r="B102">
        <v>-149.594323</v>
      </c>
      <c r="C102">
        <v>-17.015015999999999</v>
      </c>
      <c r="D102">
        <v>163</v>
      </c>
      <c r="E102">
        <v>30.3</v>
      </c>
      <c r="F102">
        <v>9.9600000000000009</v>
      </c>
    </row>
    <row r="103" spans="1:6" x14ac:dyDescent="0.2">
      <c r="A103">
        <v>736787.5956</v>
      </c>
      <c r="B103">
        <v>-149.59432699999999</v>
      </c>
      <c r="C103">
        <v>-17.015007000000001</v>
      </c>
      <c r="D103">
        <v>163</v>
      </c>
      <c r="E103">
        <v>30.3</v>
      </c>
      <c r="F103">
        <v>9.9600000000000009</v>
      </c>
    </row>
    <row r="104" spans="1:6" x14ac:dyDescent="0.2">
      <c r="A104">
        <v>736787.59569999995</v>
      </c>
      <c r="B104">
        <v>-149.59433799999999</v>
      </c>
      <c r="C104">
        <v>-17.014994999999999</v>
      </c>
      <c r="D104">
        <v>161.29280068718199</v>
      </c>
      <c r="E104">
        <v>30.3</v>
      </c>
      <c r="F104">
        <v>9.8581600392675206</v>
      </c>
    </row>
    <row r="105" spans="1:6" x14ac:dyDescent="0.2">
      <c r="A105">
        <v>736787.59569999995</v>
      </c>
      <c r="B105">
        <v>-149.59434400000001</v>
      </c>
      <c r="C105">
        <v>-17.014983999999998</v>
      </c>
      <c r="D105">
        <v>161.29280068718199</v>
      </c>
      <c r="E105">
        <v>30.3</v>
      </c>
      <c r="F105">
        <v>9.8581600392675206</v>
      </c>
    </row>
    <row r="106" spans="1:6" x14ac:dyDescent="0.2">
      <c r="A106">
        <v>736787.59569999995</v>
      </c>
      <c r="B106">
        <v>-149.594347</v>
      </c>
      <c r="C106">
        <v>-17.014972</v>
      </c>
      <c r="D106">
        <v>161.29280068718199</v>
      </c>
      <c r="E106">
        <v>30.3</v>
      </c>
      <c r="F106">
        <v>9.8581600392675206</v>
      </c>
    </row>
    <row r="107" spans="1:6" x14ac:dyDescent="0.2">
      <c r="A107">
        <v>736787.59569999995</v>
      </c>
      <c r="B107">
        <v>-149.59435300000001</v>
      </c>
      <c r="C107">
        <v>-17.014962000000001</v>
      </c>
      <c r="D107">
        <v>161.29280068718199</v>
      </c>
      <c r="E107">
        <v>30.3</v>
      </c>
      <c r="F107">
        <v>9.8581600392675206</v>
      </c>
    </row>
    <row r="108" spans="1:6" x14ac:dyDescent="0.2">
      <c r="A108">
        <v>736787.59580000001</v>
      </c>
      <c r="B108">
        <v>-149.594358</v>
      </c>
      <c r="C108">
        <v>-17.014949999999999</v>
      </c>
      <c r="D108">
        <v>160.7687986192</v>
      </c>
      <c r="E108">
        <v>30.3</v>
      </c>
      <c r="F108">
        <v>9.8283199256492093</v>
      </c>
    </row>
    <row r="109" spans="1:6" x14ac:dyDescent="0.2">
      <c r="A109">
        <v>736787.59580000001</v>
      </c>
      <c r="B109">
        <v>-149.59435999999999</v>
      </c>
      <c r="C109">
        <v>-17.014941</v>
      </c>
      <c r="D109">
        <v>160.7687986192</v>
      </c>
      <c r="E109">
        <v>30.3</v>
      </c>
      <c r="F109">
        <v>9.8283199256492093</v>
      </c>
    </row>
    <row r="110" spans="1:6" x14ac:dyDescent="0.2">
      <c r="A110">
        <v>736787.59580000001</v>
      </c>
      <c r="B110">
        <v>-149.59436199999999</v>
      </c>
      <c r="C110">
        <v>-17.014931000000001</v>
      </c>
      <c r="D110">
        <v>160.7687986192</v>
      </c>
      <c r="E110">
        <v>30.3</v>
      </c>
      <c r="F110">
        <v>9.8283199256492093</v>
      </c>
    </row>
    <row r="111" spans="1:6" x14ac:dyDescent="0.2">
      <c r="A111">
        <v>736787.59580000001</v>
      </c>
      <c r="B111">
        <v>-149.59436400000001</v>
      </c>
      <c r="C111">
        <v>-17.014924000000001</v>
      </c>
      <c r="D111">
        <v>160.7687986192</v>
      </c>
      <c r="E111">
        <v>30.3</v>
      </c>
      <c r="F111">
        <v>9.8283199256492093</v>
      </c>
    </row>
    <row r="112" spans="1:6" x14ac:dyDescent="0.2">
      <c r="A112">
        <v>736787.59580000001</v>
      </c>
      <c r="B112">
        <v>-149.59437</v>
      </c>
      <c r="C112">
        <v>-17.014914999999998</v>
      </c>
      <c r="D112">
        <v>160.7687986192</v>
      </c>
      <c r="E112">
        <v>30.3</v>
      </c>
      <c r="F112">
        <v>9.8283199256492093</v>
      </c>
    </row>
    <row r="113" spans="1:6" x14ac:dyDescent="0.2">
      <c r="A113">
        <v>736787.59589999996</v>
      </c>
      <c r="B113">
        <v>-149.59437600000001</v>
      </c>
      <c r="C113">
        <v>-17.014906</v>
      </c>
      <c r="D113">
        <v>158.97360064212</v>
      </c>
      <c r="E113">
        <v>30.3</v>
      </c>
      <c r="F113">
        <v>9.7224000458657507</v>
      </c>
    </row>
    <row r="114" spans="1:6" x14ac:dyDescent="0.2">
      <c r="A114">
        <v>736787.59589999996</v>
      </c>
      <c r="B114">
        <v>-149.59437700000001</v>
      </c>
      <c r="C114">
        <v>-17.014894999999999</v>
      </c>
      <c r="D114">
        <v>158.97360064212</v>
      </c>
      <c r="E114">
        <v>30.3</v>
      </c>
      <c r="F114">
        <v>9.7224000458657507</v>
      </c>
    </row>
    <row r="115" spans="1:6" x14ac:dyDescent="0.2">
      <c r="A115">
        <v>736787.59600000002</v>
      </c>
      <c r="B115">
        <v>-149.59437600000001</v>
      </c>
      <c r="C115">
        <v>-17.014885</v>
      </c>
      <c r="D115">
        <v>158.26799992758001</v>
      </c>
      <c r="E115">
        <v>30.2</v>
      </c>
      <c r="F115">
        <v>9.6859999959766796</v>
      </c>
    </row>
    <row r="116" spans="1:6" x14ac:dyDescent="0.2">
      <c r="A116">
        <v>736787.59609999997</v>
      </c>
      <c r="B116">
        <v>-149.594369</v>
      </c>
      <c r="C116">
        <v>-17.014878</v>
      </c>
      <c r="D116">
        <v>156.6</v>
      </c>
      <c r="E116">
        <v>30.2</v>
      </c>
      <c r="F116">
        <v>9.5920799914705803</v>
      </c>
    </row>
    <row r="117" spans="1:6" x14ac:dyDescent="0.2">
      <c r="A117">
        <v>736787.59609999997</v>
      </c>
      <c r="B117">
        <v>-149.59435999999999</v>
      </c>
      <c r="C117">
        <v>-17.014869000000001</v>
      </c>
      <c r="D117">
        <v>156.6</v>
      </c>
      <c r="E117">
        <v>30.2</v>
      </c>
      <c r="F117">
        <v>9.5920799914705803</v>
      </c>
    </row>
    <row r="118" spans="1:6" x14ac:dyDescent="0.2">
      <c r="A118">
        <v>736787.59620000003</v>
      </c>
      <c r="B118">
        <v>-149.594356</v>
      </c>
      <c r="C118">
        <v>-17.014854</v>
      </c>
      <c r="D118">
        <v>156.41279978756901</v>
      </c>
      <c r="E118">
        <v>30.2</v>
      </c>
      <c r="F118">
        <v>9.5812799787568697</v>
      </c>
    </row>
    <row r="119" spans="1:6" x14ac:dyDescent="0.2">
      <c r="A119">
        <v>736787.59620000003</v>
      </c>
      <c r="B119">
        <v>-149.59435099999999</v>
      </c>
      <c r="C119">
        <v>-17.014844</v>
      </c>
      <c r="D119">
        <v>156.41279978756901</v>
      </c>
      <c r="E119">
        <v>30.2</v>
      </c>
      <c r="F119">
        <v>9.5812799787568697</v>
      </c>
    </row>
    <row r="120" spans="1:6" x14ac:dyDescent="0.2">
      <c r="A120">
        <v>736787.59620000003</v>
      </c>
      <c r="B120">
        <v>-149.594346</v>
      </c>
      <c r="C120">
        <v>-17.014835999999999</v>
      </c>
      <c r="D120">
        <v>156.41279978756901</v>
      </c>
      <c r="E120">
        <v>30.2</v>
      </c>
      <c r="F120">
        <v>9.5812799787568697</v>
      </c>
    </row>
    <row r="121" spans="1:6" x14ac:dyDescent="0.2">
      <c r="A121">
        <v>736787.59629999998</v>
      </c>
      <c r="B121">
        <v>-149.594348</v>
      </c>
      <c r="C121">
        <v>-17.014823</v>
      </c>
      <c r="D121">
        <v>155.732799842286</v>
      </c>
      <c r="E121">
        <v>30.2</v>
      </c>
      <c r="F121">
        <v>9.5432799842286204</v>
      </c>
    </row>
    <row r="122" spans="1:6" x14ac:dyDescent="0.2">
      <c r="A122">
        <v>736787.59629999998</v>
      </c>
      <c r="B122">
        <v>-149.594359</v>
      </c>
      <c r="C122">
        <v>-17.014793000000001</v>
      </c>
      <c r="D122">
        <v>155.732799842286</v>
      </c>
      <c r="E122">
        <v>30.2</v>
      </c>
      <c r="F122">
        <v>9.5432799842286204</v>
      </c>
    </row>
    <row r="123" spans="1:6" x14ac:dyDescent="0.2">
      <c r="A123">
        <v>736787.59629999998</v>
      </c>
      <c r="B123">
        <v>-149.59436199999999</v>
      </c>
      <c r="C123">
        <v>-17.014783999999999</v>
      </c>
      <c r="D123">
        <v>155.732799842286</v>
      </c>
      <c r="E123">
        <v>30.2</v>
      </c>
      <c r="F123">
        <v>9.5432799842286204</v>
      </c>
    </row>
    <row r="124" spans="1:6" x14ac:dyDescent="0.2">
      <c r="A124">
        <v>736787.59629999998</v>
      </c>
      <c r="B124">
        <v>-149.594368</v>
      </c>
      <c r="C124">
        <v>-17.014776000000001</v>
      </c>
      <c r="D124">
        <v>155.732799842286</v>
      </c>
      <c r="E124">
        <v>30.2</v>
      </c>
      <c r="F124">
        <v>9.5432799842286204</v>
      </c>
    </row>
    <row r="125" spans="1:6" x14ac:dyDescent="0.2">
      <c r="A125">
        <v>736787.59629999998</v>
      </c>
      <c r="B125">
        <v>-149.59437399999999</v>
      </c>
      <c r="C125">
        <v>-17.014766000000002</v>
      </c>
      <c r="D125">
        <v>155.732799842286</v>
      </c>
      <c r="E125">
        <v>30.2</v>
      </c>
      <c r="F125">
        <v>9.5432799842286204</v>
      </c>
    </row>
    <row r="126" spans="1:6" x14ac:dyDescent="0.2">
      <c r="A126">
        <v>736787.59629999998</v>
      </c>
      <c r="B126">
        <v>-149.59438299999999</v>
      </c>
      <c r="C126">
        <v>-17.014752000000001</v>
      </c>
      <c r="D126">
        <v>155.732799842286</v>
      </c>
      <c r="E126">
        <v>30.2</v>
      </c>
      <c r="F126">
        <v>9.5432799842286204</v>
      </c>
    </row>
    <row r="127" spans="1:6" x14ac:dyDescent="0.2">
      <c r="A127">
        <v>736787.59629999998</v>
      </c>
      <c r="B127">
        <v>-149.59438900000001</v>
      </c>
      <c r="C127">
        <v>-17.014744</v>
      </c>
      <c r="D127">
        <v>155.732799842286</v>
      </c>
      <c r="E127">
        <v>30.2</v>
      </c>
      <c r="F127">
        <v>9.5432799842286204</v>
      </c>
    </row>
    <row r="128" spans="1:6" x14ac:dyDescent="0.2">
      <c r="A128">
        <v>736787.59640000004</v>
      </c>
      <c r="B128">
        <v>-149.59439699999999</v>
      </c>
      <c r="C128">
        <v>-17.014731000000001</v>
      </c>
      <c r="D128">
        <v>155.72159974894501</v>
      </c>
      <c r="E128">
        <v>30.2</v>
      </c>
      <c r="F128">
        <v>9.5460799874472695</v>
      </c>
    </row>
    <row r="129" spans="1:6" x14ac:dyDescent="0.2">
      <c r="A129">
        <v>736787.59640000004</v>
      </c>
      <c r="B129">
        <v>-149.594404</v>
      </c>
      <c r="C129">
        <v>-17.014720000000001</v>
      </c>
      <c r="D129">
        <v>155.72159974894501</v>
      </c>
      <c r="E129">
        <v>30.2</v>
      </c>
      <c r="F129">
        <v>9.5460799874472695</v>
      </c>
    </row>
    <row r="130" spans="1:6" x14ac:dyDescent="0.2">
      <c r="A130">
        <v>736787.59640000004</v>
      </c>
      <c r="B130">
        <v>-149.594414</v>
      </c>
      <c r="C130">
        <v>-17.014710000000001</v>
      </c>
      <c r="D130">
        <v>155.72159974894501</v>
      </c>
      <c r="E130">
        <v>30.2</v>
      </c>
      <c r="F130">
        <v>9.5460799874472695</v>
      </c>
    </row>
    <row r="131" spans="1:6" x14ac:dyDescent="0.2">
      <c r="A131">
        <v>736787.59640000004</v>
      </c>
      <c r="B131">
        <v>-149.59442100000001</v>
      </c>
      <c r="C131">
        <v>-17.014702</v>
      </c>
      <c r="D131">
        <v>155.72159974894501</v>
      </c>
      <c r="E131">
        <v>30.2</v>
      </c>
      <c r="F131">
        <v>9.5460799874472695</v>
      </c>
    </row>
    <row r="132" spans="1:6" x14ac:dyDescent="0.2">
      <c r="A132">
        <v>736787.59649999999</v>
      </c>
      <c r="B132">
        <v>-149.59442899999999</v>
      </c>
      <c r="C132">
        <v>-17.014693999999999</v>
      </c>
      <c r="D132">
        <v>156</v>
      </c>
      <c r="E132">
        <v>30.1880000482798</v>
      </c>
      <c r="F132">
        <v>9.5611999951720197</v>
      </c>
    </row>
    <row r="133" spans="1:6" x14ac:dyDescent="0.2">
      <c r="A133">
        <v>736787.59649999999</v>
      </c>
      <c r="B133">
        <v>-149.59444099999999</v>
      </c>
      <c r="C133">
        <v>-17.014685</v>
      </c>
      <c r="D133">
        <v>156</v>
      </c>
      <c r="E133">
        <v>30.1880000482798</v>
      </c>
      <c r="F133">
        <v>9.5611999951720197</v>
      </c>
    </row>
    <row r="134" spans="1:6" x14ac:dyDescent="0.2">
      <c r="A134">
        <v>736787.59649999999</v>
      </c>
      <c r="B134">
        <v>-149.59445099999999</v>
      </c>
      <c r="C134">
        <v>-17.014679000000001</v>
      </c>
      <c r="D134">
        <v>156</v>
      </c>
      <c r="E134">
        <v>30.1880000482798</v>
      </c>
      <c r="F134">
        <v>9.5611999951720197</v>
      </c>
    </row>
    <row r="135" spans="1:6" x14ac:dyDescent="0.2">
      <c r="A135">
        <v>736787.59649999999</v>
      </c>
      <c r="B135">
        <v>-149.594461</v>
      </c>
      <c r="C135">
        <v>-17.014672000000001</v>
      </c>
      <c r="D135">
        <v>156</v>
      </c>
      <c r="E135">
        <v>30.1880000482798</v>
      </c>
      <c r="F135">
        <v>9.5611999951720197</v>
      </c>
    </row>
    <row r="136" spans="1:6" x14ac:dyDescent="0.2">
      <c r="A136">
        <v>736787.59660000005</v>
      </c>
      <c r="B136">
        <v>-149.59447299999999</v>
      </c>
      <c r="C136">
        <v>-17.014669999999999</v>
      </c>
      <c r="D136">
        <v>155.830399736071</v>
      </c>
      <c r="E136">
        <v>30.1</v>
      </c>
      <c r="F136">
        <v>9.5530399736070795</v>
      </c>
    </row>
    <row r="137" spans="1:6" x14ac:dyDescent="0.2">
      <c r="A137">
        <v>736787.59660000005</v>
      </c>
      <c r="B137">
        <v>-149.594482</v>
      </c>
      <c r="C137">
        <v>-17.014662999999999</v>
      </c>
      <c r="D137">
        <v>155.830399736071</v>
      </c>
      <c r="E137">
        <v>30.1</v>
      </c>
      <c r="F137">
        <v>9.5530399736070795</v>
      </c>
    </row>
    <row r="138" spans="1:6" x14ac:dyDescent="0.2">
      <c r="A138">
        <v>736787.59660000005</v>
      </c>
      <c r="B138">
        <v>-149.594493</v>
      </c>
      <c r="C138">
        <v>-17.014657</v>
      </c>
      <c r="D138">
        <v>155.830399736071</v>
      </c>
      <c r="E138">
        <v>30.1</v>
      </c>
      <c r="F138">
        <v>9.5530399736070795</v>
      </c>
    </row>
    <row r="139" spans="1:6" x14ac:dyDescent="0.2">
      <c r="A139">
        <v>736787.59660000005</v>
      </c>
      <c r="B139">
        <v>-149.59450799999999</v>
      </c>
      <c r="C139">
        <v>-17.014652999999999</v>
      </c>
      <c r="D139">
        <v>155.830399736071</v>
      </c>
      <c r="E139">
        <v>30.1</v>
      </c>
      <c r="F139">
        <v>9.5530399736070795</v>
      </c>
    </row>
    <row r="140" spans="1:6" x14ac:dyDescent="0.2">
      <c r="A140">
        <v>736787.59669999999</v>
      </c>
      <c r="B140">
        <v>-149.59451899999999</v>
      </c>
      <c r="C140">
        <v>-17.014643</v>
      </c>
      <c r="D140">
        <v>155.1</v>
      </c>
      <c r="E140">
        <v>30.1</v>
      </c>
      <c r="F140">
        <v>9.52</v>
      </c>
    </row>
    <row r="141" spans="1:6" x14ac:dyDescent="0.2">
      <c r="A141">
        <v>736787.59669999999</v>
      </c>
      <c r="B141">
        <v>-149.59452999999999</v>
      </c>
      <c r="C141">
        <v>-17.014637</v>
      </c>
      <c r="D141">
        <v>155.1</v>
      </c>
      <c r="E141">
        <v>30.1</v>
      </c>
      <c r="F141">
        <v>9.52</v>
      </c>
    </row>
    <row r="142" spans="1:6" x14ac:dyDescent="0.2">
      <c r="A142">
        <v>736787.59669999999</v>
      </c>
      <c r="B142">
        <v>-149.59454400000001</v>
      </c>
      <c r="C142">
        <v>-17.01463</v>
      </c>
      <c r="D142">
        <v>155.1</v>
      </c>
      <c r="E142">
        <v>30.1</v>
      </c>
      <c r="F142">
        <v>9.52</v>
      </c>
    </row>
    <row r="143" spans="1:6" x14ac:dyDescent="0.2">
      <c r="A143">
        <v>736787.59669999999</v>
      </c>
      <c r="B143">
        <v>-149.59455199999999</v>
      </c>
      <c r="C143">
        <v>-17.014620000000001</v>
      </c>
      <c r="D143">
        <v>155.1</v>
      </c>
      <c r="E143">
        <v>30.1</v>
      </c>
      <c r="F143">
        <v>9.52</v>
      </c>
    </row>
    <row r="144" spans="1:6" x14ac:dyDescent="0.2">
      <c r="A144">
        <v>736787.59669999999</v>
      </c>
      <c r="B144">
        <v>-149.594561</v>
      </c>
      <c r="C144">
        <v>-17.014607000000002</v>
      </c>
      <c r="D144">
        <v>155.1</v>
      </c>
      <c r="E144">
        <v>30.1</v>
      </c>
      <c r="F144">
        <v>9.52</v>
      </c>
    </row>
    <row r="145" spans="1:6" x14ac:dyDescent="0.2">
      <c r="A145">
        <v>736787.59680000006</v>
      </c>
      <c r="B145">
        <v>-149.59457</v>
      </c>
      <c r="C145">
        <v>-17.014593999999999</v>
      </c>
      <c r="D145">
        <v>153.08319764716799</v>
      </c>
      <c r="E145">
        <v>30.1</v>
      </c>
      <c r="F145">
        <v>9.3995998615980998</v>
      </c>
    </row>
    <row r="146" spans="1:6" x14ac:dyDescent="0.2">
      <c r="A146">
        <v>736787.59680000006</v>
      </c>
      <c r="B146">
        <v>-149.59457699999999</v>
      </c>
      <c r="C146">
        <v>-17.014582000000001</v>
      </c>
      <c r="D146">
        <v>153.08319764716799</v>
      </c>
      <c r="E146">
        <v>30.1</v>
      </c>
      <c r="F146">
        <v>9.3995998615980998</v>
      </c>
    </row>
    <row r="147" spans="1:6" x14ac:dyDescent="0.2">
      <c r="A147">
        <v>736787.59680000006</v>
      </c>
      <c r="B147">
        <v>-149.59457800000001</v>
      </c>
      <c r="C147">
        <v>-17.014571</v>
      </c>
      <c r="D147">
        <v>153.08319764716799</v>
      </c>
      <c r="E147">
        <v>30.1</v>
      </c>
      <c r="F147">
        <v>9.3995998615980998</v>
      </c>
    </row>
    <row r="148" spans="1:6" x14ac:dyDescent="0.2">
      <c r="A148">
        <v>736787.59680000006</v>
      </c>
      <c r="B148">
        <v>-149.594583</v>
      </c>
      <c r="C148">
        <v>-17.014562999999999</v>
      </c>
      <c r="D148">
        <v>153.08319764716799</v>
      </c>
      <c r="E148">
        <v>30.1</v>
      </c>
      <c r="F148">
        <v>9.3995998615980998</v>
      </c>
    </row>
    <row r="149" spans="1:6" x14ac:dyDescent="0.2">
      <c r="A149">
        <v>736787.59680000006</v>
      </c>
      <c r="B149">
        <v>-149.59459000000001</v>
      </c>
      <c r="C149">
        <v>-17.014551999999998</v>
      </c>
      <c r="D149">
        <v>153.08319764716799</v>
      </c>
      <c r="E149">
        <v>30.1</v>
      </c>
      <c r="F149">
        <v>9.3995998615980998</v>
      </c>
    </row>
    <row r="150" spans="1:6" x14ac:dyDescent="0.2">
      <c r="A150">
        <v>736787.5969</v>
      </c>
      <c r="B150">
        <v>-149.594596</v>
      </c>
      <c r="C150">
        <v>-17.014541000000001</v>
      </c>
      <c r="D150">
        <v>151.87760037175499</v>
      </c>
      <c r="E150">
        <v>30.1</v>
      </c>
      <c r="F150">
        <v>9.3284000265539095</v>
      </c>
    </row>
    <row r="151" spans="1:6" x14ac:dyDescent="0.2">
      <c r="A151">
        <v>736787.5969</v>
      </c>
      <c r="B151">
        <v>-149.59460000000001</v>
      </c>
      <c r="C151">
        <v>-17.014531999999999</v>
      </c>
      <c r="D151">
        <v>151.87760037175499</v>
      </c>
      <c r="E151">
        <v>30.1</v>
      </c>
      <c r="F151">
        <v>9.3284000265539095</v>
      </c>
    </row>
    <row r="152" spans="1:6" x14ac:dyDescent="0.2">
      <c r="A152">
        <v>736787.5969</v>
      </c>
      <c r="B152">
        <v>-149.59461200000001</v>
      </c>
      <c r="C152">
        <v>-17.014524000000002</v>
      </c>
      <c r="D152">
        <v>151.87760037175499</v>
      </c>
      <c r="E152">
        <v>30.1</v>
      </c>
      <c r="F152">
        <v>9.3284000265539095</v>
      </c>
    </row>
    <row r="153" spans="1:6" x14ac:dyDescent="0.2">
      <c r="A153">
        <v>736787.5969</v>
      </c>
      <c r="B153">
        <v>-149.59462500000001</v>
      </c>
      <c r="C153">
        <v>-17.014513999999998</v>
      </c>
      <c r="D153">
        <v>151.87760037175499</v>
      </c>
      <c r="E153">
        <v>30.1</v>
      </c>
      <c r="F153">
        <v>9.3284000265539095</v>
      </c>
    </row>
    <row r="154" spans="1:6" x14ac:dyDescent="0.2">
      <c r="A154">
        <v>736787.5969</v>
      </c>
      <c r="B154">
        <v>-149.594638</v>
      </c>
      <c r="C154">
        <v>-17.014509</v>
      </c>
      <c r="D154">
        <v>151.87760037175499</v>
      </c>
      <c r="E154">
        <v>30.1</v>
      </c>
      <c r="F154">
        <v>9.3284000265539095</v>
      </c>
    </row>
    <row r="155" spans="1:6" x14ac:dyDescent="0.2">
      <c r="A155">
        <v>736787.59699999995</v>
      </c>
      <c r="B155">
        <v>-149.59465499999999</v>
      </c>
      <c r="C155">
        <v>-17.014496999999999</v>
      </c>
      <c r="D155">
        <v>151.65599966204201</v>
      </c>
      <c r="E155">
        <v>30.1</v>
      </c>
      <c r="F155">
        <v>9.3103999774694604</v>
      </c>
    </row>
    <row r="156" spans="1:6" x14ac:dyDescent="0.2">
      <c r="A156">
        <v>736787.59699999995</v>
      </c>
      <c r="B156">
        <v>-149.59466800000001</v>
      </c>
      <c r="C156">
        <v>-17.014493000000002</v>
      </c>
      <c r="D156">
        <v>151.65599966204201</v>
      </c>
      <c r="E156">
        <v>30.1</v>
      </c>
      <c r="F156">
        <v>9.3103999774694604</v>
      </c>
    </row>
    <row r="157" spans="1:6" x14ac:dyDescent="0.2">
      <c r="A157">
        <v>736787.59699999995</v>
      </c>
      <c r="B157">
        <v>-149.59468000000001</v>
      </c>
      <c r="C157">
        <v>-17.014482000000001</v>
      </c>
      <c r="D157">
        <v>151.65599966204201</v>
      </c>
      <c r="E157">
        <v>30.1</v>
      </c>
      <c r="F157">
        <v>9.3103999774694604</v>
      </c>
    </row>
    <row r="158" spans="1:6" x14ac:dyDescent="0.2">
      <c r="A158">
        <v>736787.59699999995</v>
      </c>
      <c r="B158">
        <v>-149.594695</v>
      </c>
      <c r="C158">
        <v>-17.014475000000001</v>
      </c>
      <c r="D158">
        <v>151.65599966204201</v>
      </c>
      <c r="E158">
        <v>30.1</v>
      </c>
      <c r="F158">
        <v>9.3103999774694604</v>
      </c>
    </row>
    <row r="159" spans="1:6" x14ac:dyDescent="0.2">
      <c r="A159">
        <v>736787.59710000001</v>
      </c>
      <c r="B159">
        <v>-149.594706</v>
      </c>
      <c r="C159">
        <v>-17.014462999999999</v>
      </c>
      <c r="D159">
        <v>152.80000000000001</v>
      </c>
      <c r="E159">
        <v>30.1</v>
      </c>
      <c r="F159">
        <v>9.3800000000000008</v>
      </c>
    </row>
    <row r="160" spans="1:6" x14ac:dyDescent="0.2">
      <c r="A160">
        <v>736787.59710000001</v>
      </c>
      <c r="B160">
        <v>-149.59472</v>
      </c>
      <c r="C160">
        <v>-17.014458000000001</v>
      </c>
      <c r="D160">
        <v>152.80000000000001</v>
      </c>
      <c r="E160">
        <v>30.1</v>
      </c>
      <c r="F160">
        <v>9.3800000000000008</v>
      </c>
    </row>
    <row r="161" spans="1:6" x14ac:dyDescent="0.2">
      <c r="A161">
        <v>736787.59710000001</v>
      </c>
      <c r="B161">
        <v>-149.59472600000001</v>
      </c>
      <c r="C161">
        <v>-17.014451000000001</v>
      </c>
      <c r="D161">
        <v>152.80000000000001</v>
      </c>
      <c r="E161">
        <v>30.1</v>
      </c>
      <c r="F161">
        <v>9.3800000000000008</v>
      </c>
    </row>
    <row r="162" spans="1:6" x14ac:dyDescent="0.2">
      <c r="A162">
        <v>736787.59710000001</v>
      </c>
      <c r="B162">
        <v>-149.59473399999999</v>
      </c>
      <c r="C162">
        <v>-17.014444000000001</v>
      </c>
      <c r="D162">
        <v>152.80000000000001</v>
      </c>
      <c r="E162">
        <v>30.1</v>
      </c>
      <c r="F162">
        <v>9.3800000000000008</v>
      </c>
    </row>
    <row r="163" spans="1:6" x14ac:dyDescent="0.2">
      <c r="A163">
        <v>736787.59710000001</v>
      </c>
      <c r="B163">
        <v>-149.59474700000001</v>
      </c>
      <c r="C163">
        <v>-17.014437999999998</v>
      </c>
      <c r="D163">
        <v>152.80000000000001</v>
      </c>
      <c r="E163">
        <v>30.1</v>
      </c>
      <c r="F163">
        <v>9.3800000000000008</v>
      </c>
    </row>
    <row r="164" spans="1:6" x14ac:dyDescent="0.2">
      <c r="A164">
        <v>736787.59719999996</v>
      </c>
      <c r="B164">
        <v>-149.59476000000001</v>
      </c>
      <c r="C164">
        <v>-17.014430999999998</v>
      </c>
      <c r="D164">
        <v>154.25919940133099</v>
      </c>
      <c r="E164">
        <v>30.1</v>
      </c>
      <c r="F164">
        <v>9.4672799600887494</v>
      </c>
    </row>
    <row r="165" spans="1:6" x14ac:dyDescent="0.2">
      <c r="A165">
        <v>736787.59719999996</v>
      </c>
      <c r="B165">
        <v>-149.59477100000001</v>
      </c>
      <c r="C165">
        <v>-17.014424000000002</v>
      </c>
      <c r="D165">
        <v>154.25919940133099</v>
      </c>
      <c r="E165">
        <v>30.1</v>
      </c>
      <c r="F165">
        <v>9.4672799600887494</v>
      </c>
    </row>
    <row r="166" spans="1:6" x14ac:dyDescent="0.2">
      <c r="A166">
        <v>736787.59719999996</v>
      </c>
      <c r="B166">
        <v>-149.59478100000001</v>
      </c>
      <c r="C166">
        <v>-17.014419</v>
      </c>
      <c r="D166">
        <v>154.25919940133099</v>
      </c>
      <c r="E166">
        <v>30.1</v>
      </c>
      <c r="F166">
        <v>9.4672799600887494</v>
      </c>
    </row>
    <row r="167" spans="1:6" x14ac:dyDescent="0.2">
      <c r="A167">
        <v>736787.59719999996</v>
      </c>
      <c r="B167">
        <v>-149.59479099999999</v>
      </c>
      <c r="C167">
        <v>-17.014410000000002</v>
      </c>
      <c r="D167">
        <v>154.25919940133099</v>
      </c>
      <c r="E167">
        <v>30.1</v>
      </c>
      <c r="F167">
        <v>9.4672799600887494</v>
      </c>
    </row>
    <row r="168" spans="1:6" x14ac:dyDescent="0.2">
      <c r="A168">
        <v>736787.59730000002</v>
      </c>
      <c r="B168">
        <v>-149.59480500000001</v>
      </c>
      <c r="C168">
        <v>-17.014399999999998</v>
      </c>
      <c r="D168">
        <v>155.19999999999999</v>
      </c>
      <c r="E168">
        <v>30.1</v>
      </c>
      <c r="F168">
        <v>9.5205600046670398</v>
      </c>
    </row>
    <row r="169" spans="1:6" x14ac:dyDescent="0.2">
      <c r="A169">
        <v>736787.59730000002</v>
      </c>
      <c r="B169">
        <v>-149.59481400000001</v>
      </c>
      <c r="C169">
        <v>-17.014393999999999</v>
      </c>
      <c r="D169">
        <v>155.19999999999999</v>
      </c>
      <c r="E169">
        <v>30.1</v>
      </c>
      <c r="F169">
        <v>9.5205600046670398</v>
      </c>
    </row>
    <row r="170" spans="1:6" x14ac:dyDescent="0.2">
      <c r="A170">
        <v>736787.59730000002</v>
      </c>
      <c r="B170">
        <v>-149.59482</v>
      </c>
      <c r="C170">
        <v>-17.014385999999998</v>
      </c>
      <c r="D170">
        <v>155.19999999999999</v>
      </c>
      <c r="E170">
        <v>30.1</v>
      </c>
      <c r="F170">
        <v>9.5205600046670398</v>
      </c>
    </row>
    <row r="171" spans="1:6" x14ac:dyDescent="0.2">
      <c r="A171">
        <v>736787.59730000002</v>
      </c>
      <c r="B171">
        <v>-149.59483599999999</v>
      </c>
      <c r="C171">
        <v>-17.014379999999999</v>
      </c>
      <c r="D171">
        <v>155.19999999999999</v>
      </c>
      <c r="E171">
        <v>30.1</v>
      </c>
      <c r="F171">
        <v>9.5205600046670398</v>
      </c>
    </row>
    <row r="172" spans="1:6" x14ac:dyDescent="0.2">
      <c r="A172">
        <v>736787.59730000002</v>
      </c>
      <c r="B172">
        <v>-149.59485000000001</v>
      </c>
      <c r="C172">
        <v>-17.014375000000001</v>
      </c>
      <c r="D172">
        <v>155.19999999999999</v>
      </c>
      <c r="E172">
        <v>30.1</v>
      </c>
      <c r="F172">
        <v>9.5205600046670398</v>
      </c>
    </row>
    <row r="173" spans="1:6" x14ac:dyDescent="0.2">
      <c r="A173">
        <v>736787.59730000002</v>
      </c>
      <c r="B173">
        <v>-149.59485699999999</v>
      </c>
      <c r="C173">
        <v>-17.014368000000001</v>
      </c>
      <c r="D173">
        <v>155.19999999999999</v>
      </c>
      <c r="E173">
        <v>30.1</v>
      </c>
      <c r="F173">
        <v>9.5205600046670398</v>
      </c>
    </row>
    <row r="174" spans="1:6" x14ac:dyDescent="0.2">
      <c r="A174">
        <v>736787.59739999997</v>
      </c>
      <c r="B174">
        <v>-149.59487200000001</v>
      </c>
      <c r="C174">
        <v>-17.014358999999999</v>
      </c>
      <c r="D174">
        <v>157.47199956548201</v>
      </c>
      <c r="E174">
        <v>30.1</v>
      </c>
      <c r="F174">
        <v>9.6603199739289405</v>
      </c>
    </row>
    <row r="175" spans="1:6" x14ac:dyDescent="0.2">
      <c r="A175">
        <v>736787.59739999997</v>
      </c>
      <c r="B175">
        <v>-149.59488400000001</v>
      </c>
      <c r="C175">
        <v>-17.014347999999998</v>
      </c>
      <c r="D175">
        <v>157.47199956548201</v>
      </c>
      <c r="E175">
        <v>30.1</v>
      </c>
      <c r="F175">
        <v>9.6603199739289405</v>
      </c>
    </row>
    <row r="176" spans="1:6" x14ac:dyDescent="0.2">
      <c r="A176">
        <v>736787.59739999997</v>
      </c>
      <c r="B176">
        <v>-149.59488899999999</v>
      </c>
      <c r="C176">
        <v>-17.014339</v>
      </c>
      <c r="D176">
        <v>157.47199956548201</v>
      </c>
      <c r="E176">
        <v>30.1</v>
      </c>
      <c r="F176">
        <v>9.6603199739289405</v>
      </c>
    </row>
    <row r="177" spans="1:6" x14ac:dyDescent="0.2">
      <c r="A177">
        <v>736787.59739999997</v>
      </c>
      <c r="B177">
        <v>-149.59490199999999</v>
      </c>
      <c r="C177">
        <v>-17.014329</v>
      </c>
      <c r="D177">
        <v>157.47199956548201</v>
      </c>
      <c r="E177">
        <v>30.1</v>
      </c>
      <c r="F177">
        <v>9.6603199739289405</v>
      </c>
    </row>
    <row r="178" spans="1:6" x14ac:dyDescent="0.2">
      <c r="A178">
        <v>736787.59739999997</v>
      </c>
      <c r="B178">
        <v>-149.594909</v>
      </c>
      <c r="C178">
        <v>-17.014320999999999</v>
      </c>
      <c r="D178">
        <v>157.47199956548201</v>
      </c>
      <c r="E178">
        <v>30.1</v>
      </c>
      <c r="F178">
        <v>9.6603199739289405</v>
      </c>
    </row>
    <row r="179" spans="1:6" x14ac:dyDescent="0.2">
      <c r="A179">
        <v>736787.59750000003</v>
      </c>
      <c r="B179">
        <v>-149.59491399999999</v>
      </c>
      <c r="C179">
        <v>-17.014312</v>
      </c>
      <c r="D179">
        <v>157.80000000000001</v>
      </c>
      <c r="E179">
        <v>30.1</v>
      </c>
      <c r="F179">
        <v>9.68</v>
      </c>
    </row>
    <row r="180" spans="1:6" x14ac:dyDescent="0.2">
      <c r="A180">
        <v>736787.59750000003</v>
      </c>
      <c r="B180">
        <v>-149.59492</v>
      </c>
      <c r="C180">
        <v>-17.014305</v>
      </c>
      <c r="D180">
        <v>157.80000000000001</v>
      </c>
      <c r="E180">
        <v>30.1</v>
      </c>
      <c r="F180">
        <v>9.68</v>
      </c>
    </row>
    <row r="181" spans="1:6" x14ac:dyDescent="0.2">
      <c r="A181">
        <v>736787.59750000003</v>
      </c>
      <c r="B181">
        <v>-149.59492800000001</v>
      </c>
      <c r="C181">
        <v>-17.014295000000001</v>
      </c>
      <c r="D181">
        <v>157.80000000000001</v>
      </c>
      <c r="E181">
        <v>30.1</v>
      </c>
      <c r="F181">
        <v>9.68</v>
      </c>
    </row>
    <row r="182" spans="1:6" x14ac:dyDescent="0.2">
      <c r="A182">
        <v>736787.59750000003</v>
      </c>
      <c r="B182">
        <v>-149.594932</v>
      </c>
      <c r="C182">
        <v>-17.014285999999998</v>
      </c>
      <c r="D182">
        <v>157.80000000000001</v>
      </c>
      <c r="E182">
        <v>30.1</v>
      </c>
      <c r="F182">
        <v>9.68</v>
      </c>
    </row>
    <row r="183" spans="1:6" x14ac:dyDescent="0.2">
      <c r="A183">
        <v>736787.59750000003</v>
      </c>
      <c r="B183">
        <v>-149.59493800000001</v>
      </c>
      <c r="C183">
        <v>-17.014277</v>
      </c>
      <c r="D183">
        <v>157.80000000000001</v>
      </c>
      <c r="E183">
        <v>30.1</v>
      </c>
      <c r="F183">
        <v>9.68</v>
      </c>
    </row>
    <row r="184" spans="1:6" x14ac:dyDescent="0.2">
      <c r="A184">
        <v>736787.59750000003</v>
      </c>
      <c r="B184">
        <v>-149.59494799999999</v>
      </c>
      <c r="C184">
        <v>-17.014265000000002</v>
      </c>
      <c r="D184">
        <v>157.80000000000001</v>
      </c>
      <c r="E184">
        <v>30.1</v>
      </c>
      <c r="F184">
        <v>9.68</v>
      </c>
    </row>
    <row r="185" spans="1:6" x14ac:dyDescent="0.2">
      <c r="A185">
        <v>736787.59750000003</v>
      </c>
      <c r="B185">
        <v>-149.594953</v>
      </c>
      <c r="C185">
        <v>-17.014256</v>
      </c>
      <c r="D185">
        <v>157.80000000000001</v>
      </c>
      <c r="E185">
        <v>30.1</v>
      </c>
      <c r="F185">
        <v>9.68</v>
      </c>
    </row>
    <row r="186" spans="1:6" x14ac:dyDescent="0.2">
      <c r="A186">
        <v>736787.59759999998</v>
      </c>
      <c r="B186">
        <v>-149.59495899999999</v>
      </c>
      <c r="C186">
        <v>-17.014244999999999</v>
      </c>
      <c r="D186">
        <v>157.9</v>
      </c>
      <c r="E186">
        <v>30.1</v>
      </c>
      <c r="F186">
        <v>9.69</v>
      </c>
    </row>
    <row r="187" spans="1:6" x14ac:dyDescent="0.2">
      <c r="A187">
        <v>736787.59759999998</v>
      </c>
      <c r="B187">
        <v>-149.594966</v>
      </c>
      <c r="C187">
        <v>-17.014237000000001</v>
      </c>
      <c r="D187">
        <v>157.9</v>
      </c>
      <c r="E187">
        <v>30.1</v>
      </c>
      <c r="F187">
        <v>9.69</v>
      </c>
    </row>
    <row r="188" spans="1:6" x14ac:dyDescent="0.2">
      <c r="A188">
        <v>736787.59759999998</v>
      </c>
      <c r="B188">
        <v>-149.594977</v>
      </c>
      <c r="C188">
        <v>-17.014229</v>
      </c>
      <c r="D188">
        <v>157.9</v>
      </c>
      <c r="E188">
        <v>30.1</v>
      </c>
      <c r="F188">
        <v>9.69</v>
      </c>
    </row>
    <row r="189" spans="1:6" x14ac:dyDescent="0.2">
      <c r="A189">
        <v>736787.59759999998</v>
      </c>
      <c r="B189">
        <v>-149.594988</v>
      </c>
      <c r="C189">
        <v>-17.014218</v>
      </c>
      <c r="D189">
        <v>157.9</v>
      </c>
      <c r="E189">
        <v>30.1</v>
      </c>
      <c r="F189">
        <v>9.69</v>
      </c>
    </row>
    <row r="190" spans="1:6" x14ac:dyDescent="0.2">
      <c r="A190">
        <v>736787.59770000004</v>
      </c>
      <c r="B190">
        <v>-149.59499500000001</v>
      </c>
      <c r="C190">
        <v>-17.014206999999999</v>
      </c>
      <c r="D190">
        <v>157.38639916958701</v>
      </c>
      <c r="E190">
        <v>30.1</v>
      </c>
      <c r="F190">
        <v>9.66431995847935</v>
      </c>
    </row>
    <row r="191" spans="1:6" x14ac:dyDescent="0.2">
      <c r="A191">
        <v>736787.59770000004</v>
      </c>
      <c r="B191">
        <v>-149.595009</v>
      </c>
      <c r="C191">
        <v>-17.014191</v>
      </c>
      <c r="D191">
        <v>157.38639916958701</v>
      </c>
      <c r="E191">
        <v>30.1</v>
      </c>
      <c r="F191">
        <v>9.66431995847935</v>
      </c>
    </row>
    <row r="192" spans="1:6" x14ac:dyDescent="0.2">
      <c r="A192">
        <v>736787.59770000004</v>
      </c>
      <c r="B192">
        <v>-149.59501800000001</v>
      </c>
      <c r="C192">
        <v>-17.014177</v>
      </c>
      <c r="D192">
        <v>157.38639916958701</v>
      </c>
      <c r="E192">
        <v>30.1</v>
      </c>
      <c r="F192">
        <v>9.66431995847935</v>
      </c>
    </row>
    <row r="193" spans="1:6" x14ac:dyDescent="0.2">
      <c r="A193">
        <v>736787.59770000004</v>
      </c>
      <c r="B193">
        <v>-149.59502499999999</v>
      </c>
      <c r="C193">
        <v>-17.014168000000002</v>
      </c>
      <c r="D193">
        <v>157.38639916958701</v>
      </c>
      <c r="E193">
        <v>30.1</v>
      </c>
      <c r="F193">
        <v>9.66431995847935</v>
      </c>
    </row>
    <row r="194" spans="1:6" x14ac:dyDescent="0.2">
      <c r="A194">
        <v>736787.59770000004</v>
      </c>
      <c r="B194">
        <v>-149.59503799999999</v>
      </c>
      <c r="C194">
        <v>-17.01416</v>
      </c>
      <c r="D194">
        <v>157.38639916958701</v>
      </c>
      <c r="E194">
        <v>30.1</v>
      </c>
      <c r="F194">
        <v>9.66431995847935</v>
      </c>
    </row>
    <row r="195" spans="1:6" x14ac:dyDescent="0.2">
      <c r="A195">
        <v>736787.59770000004</v>
      </c>
      <c r="B195">
        <v>-149.595044</v>
      </c>
      <c r="C195">
        <v>-17.014150999999998</v>
      </c>
      <c r="D195">
        <v>157.38639916958701</v>
      </c>
      <c r="E195">
        <v>30.1</v>
      </c>
      <c r="F195">
        <v>9.66431995847935</v>
      </c>
    </row>
    <row r="196" spans="1:6" x14ac:dyDescent="0.2">
      <c r="A196">
        <v>736787.59779999999</v>
      </c>
      <c r="B196">
        <v>-149.59505100000001</v>
      </c>
      <c r="C196">
        <v>-17.014140999999999</v>
      </c>
      <c r="D196">
        <v>157.141600030577</v>
      </c>
      <c r="E196">
        <v>30.1</v>
      </c>
      <c r="F196">
        <v>9.65</v>
      </c>
    </row>
    <row r="197" spans="1:6" x14ac:dyDescent="0.2">
      <c r="A197">
        <v>736787.59779999999</v>
      </c>
      <c r="B197">
        <v>-149.59506500000001</v>
      </c>
      <c r="C197">
        <v>-17.014130000000002</v>
      </c>
      <c r="D197">
        <v>157.141600030577</v>
      </c>
      <c r="E197">
        <v>30.1</v>
      </c>
      <c r="F197">
        <v>9.65</v>
      </c>
    </row>
    <row r="198" spans="1:6" x14ac:dyDescent="0.2">
      <c r="A198">
        <v>736787.59779999999</v>
      </c>
      <c r="B198">
        <v>-149.595078</v>
      </c>
      <c r="C198">
        <v>-17.014126000000001</v>
      </c>
      <c r="D198">
        <v>157.141600030577</v>
      </c>
      <c r="E198">
        <v>30.1</v>
      </c>
      <c r="F198">
        <v>9.65</v>
      </c>
    </row>
    <row r="199" spans="1:6" x14ac:dyDescent="0.2">
      <c r="A199">
        <v>736787.59779999999</v>
      </c>
      <c r="B199">
        <v>-149.59508600000001</v>
      </c>
      <c r="C199">
        <v>-17.014119999999998</v>
      </c>
      <c r="D199">
        <v>157.141600030577</v>
      </c>
      <c r="E199">
        <v>30.1</v>
      </c>
      <c r="F199">
        <v>9.65</v>
      </c>
    </row>
    <row r="200" spans="1:6" x14ac:dyDescent="0.2">
      <c r="A200">
        <v>736787.59779999999</v>
      </c>
      <c r="B200">
        <v>-149.5951</v>
      </c>
      <c r="C200">
        <v>-17.014116000000001</v>
      </c>
      <c r="D200">
        <v>157.141600030577</v>
      </c>
      <c r="E200">
        <v>30.1</v>
      </c>
      <c r="F200">
        <v>9.65</v>
      </c>
    </row>
    <row r="201" spans="1:6" x14ac:dyDescent="0.2">
      <c r="A201">
        <v>736787.59790000005</v>
      </c>
      <c r="B201">
        <v>-149.595113</v>
      </c>
      <c r="C201">
        <v>-17.014106000000002</v>
      </c>
      <c r="D201">
        <v>156.97519930477199</v>
      </c>
      <c r="E201">
        <v>30.1</v>
      </c>
      <c r="F201">
        <v>9.6406399478578901</v>
      </c>
    </row>
    <row r="202" spans="1:6" x14ac:dyDescent="0.2">
      <c r="A202">
        <v>736787.59790000005</v>
      </c>
      <c r="B202">
        <v>-149.595122</v>
      </c>
      <c r="C202">
        <v>-17.014102000000001</v>
      </c>
      <c r="D202">
        <v>156.97519930477199</v>
      </c>
      <c r="E202">
        <v>30.1</v>
      </c>
      <c r="F202">
        <v>9.6406399478578901</v>
      </c>
    </row>
    <row r="203" spans="1:6" x14ac:dyDescent="0.2">
      <c r="A203">
        <v>736787.59790000005</v>
      </c>
      <c r="B203">
        <v>-149.595144</v>
      </c>
      <c r="C203">
        <v>-17.014097</v>
      </c>
      <c r="D203">
        <v>156.97519930477199</v>
      </c>
      <c r="E203">
        <v>30.1</v>
      </c>
      <c r="F203">
        <v>9.6406399478578901</v>
      </c>
    </row>
    <row r="204" spans="1:6" x14ac:dyDescent="0.2">
      <c r="A204">
        <v>736787.59790000005</v>
      </c>
      <c r="B204">
        <v>-149.59515999999999</v>
      </c>
      <c r="C204">
        <v>-17.014092999999999</v>
      </c>
      <c r="D204">
        <v>156.97519930477199</v>
      </c>
      <c r="E204">
        <v>30.1</v>
      </c>
      <c r="F204">
        <v>9.6406399478578901</v>
      </c>
    </row>
    <row r="205" spans="1:6" x14ac:dyDescent="0.2">
      <c r="A205">
        <v>736787.59790000005</v>
      </c>
      <c r="B205">
        <v>-149.59516600000001</v>
      </c>
      <c r="C205">
        <v>-17.014082999999999</v>
      </c>
      <c r="D205">
        <v>156.97519930477199</v>
      </c>
      <c r="E205">
        <v>30.1</v>
      </c>
      <c r="F205">
        <v>9.6406399478578901</v>
      </c>
    </row>
    <row r="206" spans="1:6" x14ac:dyDescent="0.2">
      <c r="A206">
        <v>736787.598</v>
      </c>
      <c r="B206">
        <v>-149.59517399999999</v>
      </c>
      <c r="C206">
        <v>-17.014074999999998</v>
      </c>
      <c r="D206">
        <v>156.69999999999999</v>
      </c>
      <c r="E206">
        <v>30.1</v>
      </c>
      <c r="F206">
        <v>9.6199999999999992</v>
      </c>
    </row>
    <row r="207" spans="1:6" x14ac:dyDescent="0.2">
      <c r="A207">
        <v>736787.598</v>
      </c>
      <c r="B207">
        <v>-149.59518299999999</v>
      </c>
      <c r="C207">
        <v>-17.01407</v>
      </c>
      <c r="D207">
        <v>156.69999999999999</v>
      </c>
      <c r="E207">
        <v>30.1</v>
      </c>
      <c r="F207">
        <v>9.6199999999999992</v>
      </c>
    </row>
    <row r="208" spans="1:6" x14ac:dyDescent="0.2">
      <c r="A208">
        <v>736787.598</v>
      </c>
      <c r="B208">
        <v>-149.59519599999999</v>
      </c>
      <c r="C208">
        <v>-17.014064999999999</v>
      </c>
      <c r="D208">
        <v>156.69999999999999</v>
      </c>
      <c r="E208">
        <v>30.1</v>
      </c>
      <c r="F208">
        <v>9.6199999999999992</v>
      </c>
    </row>
    <row r="209" spans="1:6" x14ac:dyDescent="0.2">
      <c r="A209">
        <v>736787.598</v>
      </c>
      <c r="B209">
        <v>-149.59521100000001</v>
      </c>
      <c r="C209">
        <v>-17.014060000000001</v>
      </c>
      <c r="D209">
        <v>156.69999999999999</v>
      </c>
      <c r="E209">
        <v>30.1</v>
      </c>
      <c r="F209">
        <v>9.6199999999999992</v>
      </c>
    </row>
    <row r="210" spans="1:6" x14ac:dyDescent="0.2">
      <c r="A210">
        <v>736787.598</v>
      </c>
      <c r="B210">
        <v>-149.59522100000001</v>
      </c>
      <c r="C210">
        <v>-17.014052</v>
      </c>
      <c r="D210">
        <v>156.69999999999999</v>
      </c>
      <c r="E210">
        <v>30.1</v>
      </c>
      <c r="F210">
        <v>9.6199999999999992</v>
      </c>
    </row>
    <row r="211" spans="1:6" x14ac:dyDescent="0.2">
      <c r="A211">
        <v>736787.59809999994</v>
      </c>
      <c r="B211">
        <v>-149.59523200000001</v>
      </c>
      <c r="C211">
        <v>-17.014043999999998</v>
      </c>
      <c r="D211">
        <v>156.46960020277501</v>
      </c>
      <c r="E211">
        <v>30.1</v>
      </c>
      <c r="F211">
        <v>9.6046400135183507</v>
      </c>
    </row>
    <row r="212" spans="1:6" x14ac:dyDescent="0.2">
      <c r="A212">
        <v>736787.59809999994</v>
      </c>
      <c r="B212">
        <v>-149.595246</v>
      </c>
      <c r="C212">
        <v>-17.014033999999999</v>
      </c>
      <c r="D212">
        <v>156.46960020277501</v>
      </c>
      <c r="E212">
        <v>30.1</v>
      </c>
      <c r="F212">
        <v>9.6046400135183507</v>
      </c>
    </row>
    <row r="213" spans="1:6" x14ac:dyDescent="0.2">
      <c r="A213">
        <v>736787.59809999994</v>
      </c>
      <c r="B213">
        <v>-149.59526600000001</v>
      </c>
      <c r="C213">
        <v>-17.014023000000002</v>
      </c>
      <c r="D213">
        <v>156.46960020277501</v>
      </c>
      <c r="E213">
        <v>30.1</v>
      </c>
      <c r="F213">
        <v>9.6046400135183507</v>
      </c>
    </row>
    <row r="214" spans="1:6" x14ac:dyDescent="0.2">
      <c r="A214">
        <v>736787.59809999994</v>
      </c>
      <c r="B214">
        <v>-149.59527399999999</v>
      </c>
      <c r="C214">
        <v>-17.014015000000001</v>
      </c>
      <c r="D214">
        <v>156.46960020277501</v>
      </c>
      <c r="E214">
        <v>30.1</v>
      </c>
      <c r="F214">
        <v>9.6046400135183507</v>
      </c>
    </row>
    <row r="215" spans="1:6" x14ac:dyDescent="0.2">
      <c r="A215">
        <v>736787.59809999994</v>
      </c>
      <c r="B215">
        <v>-149.59528800000001</v>
      </c>
      <c r="C215">
        <v>-17.014004</v>
      </c>
      <c r="D215">
        <v>156.46960020277501</v>
      </c>
      <c r="E215">
        <v>30.1</v>
      </c>
      <c r="F215">
        <v>9.6046400135183507</v>
      </c>
    </row>
    <row r="216" spans="1:6" x14ac:dyDescent="0.2">
      <c r="A216">
        <v>736787.59820000001</v>
      </c>
      <c r="B216">
        <v>-149.59529599999999</v>
      </c>
      <c r="C216">
        <v>-17.013998000000001</v>
      </c>
      <c r="D216">
        <v>157.30000000000001</v>
      </c>
      <c r="E216">
        <v>30.1</v>
      </c>
      <c r="F216">
        <v>9.66</v>
      </c>
    </row>
    <row r="217" spans="1:6" x14ac:dyDescent="0.2">
      <c r="A217">
        <v>736787.59820000001</v>
      </c>
      <c r="B217">
        <v>-149.59530599999999</v>
      </c>
      <c r="C217">
        <v>-17.013991999999998</v>
      </c>
      <c r="D217">
        <v>157.30000000000001</v>
      </c>
      <c r="E217">
        <v>30.1</v>
      </c>
      <c r="F217">
        <v>9.66</v>
      </c>
    </row>
    <row r="218" spans="1:6" x14ac:dyDescent="0.2">
      <c r="A218">
        <v>736787.59820000001</v>
      </c>
      <c r="B218">
        <v>-149.595315</v>
      </c>
      <c r="C218">
        <v>-17.013987</v>
      </c>
      <c r="D218">
        <v>157.30000000000001</v>
      </c>
      <c r="E218">
        <v>30.1</v>
      </c>
      <c r="F218">
        <v>9.66</v>
      </c>
    </row>
    <row r="219" spans="1:6" x14ac:dyDescent="0.2">
      <c r="A219">
        <v>736787.59829999995</v>
      </c>
      <c r="B219">
        <v>-149.595325</v>
      </c>
      <c r="C219">
        <v>-17.013988999999999</v>
      </c>
      <c r="D219">
        <v>157.63280004345199</v>
      </c>
      <c r="E219">
        <v>30.1</v>
      </c>
      <c r="F219">
        <v>9.6777600014483909</v>
      </c>
    </row>
    <row r="220" spans="1:6" x14ac:dyDescent="0.2">
      <c r="A220">
        <v>736787.59840000002</v>
      </c>
      <c r="B220">
        <v>-149.59533300000001</v>
      </c>
      <c r="C220">
        <v>-17.013995000000001</v>
      </c>
      <c r="D220">
        <v>157.4</v>
      </c>
      <c r="E220">
        <v>30.1</v>
      </c>
      <c r="F220">
        <v>9.67</v>
      </c>
    </row>
    <row r="221" spans="1:6" x14ac:dyDescent="0.2">
      <c r="A221">
        <v>736787.59840000002</v>
      </c>
      <c r="B221">
        <v>-149.59534400000001</v>
      </c>
      <c r="C221">
        <v>-17.014001</v>
      </c>
      <c r="D221">
        <v>157.4</v>
      </c>
      <c r="E221">
        <v>30.1</v>
      </c>
      <c r="F221">
        <v>9.67</v>
      </c>
    </row>
    <row r="222" spans="1:6" x14ac:dyDescent="0.2">
      <c r="A222">
        <v>736787.59840000002</v>
      </c>
      <c r="B222">
        <v>-149.59535500000001</v>
      </c>
      <c r="C222">
        <v>-17.014004</v>
      </c>
      <c r="D222">
        <v>157.4</v>
      </c>
      <c r="E222">
        <v>30.1</v>
      </c>
      <c r="F222">
        <v>9.67</v>
      </c>
    </row>
    <row r="223" spans="1:6" x14ac:dyDescent="0.2">
      <c r="A223">
        <v>736787.59840000002</v>
      </c>
      <c r="B223">
        <v>-149.59536600000001</v>
      </c>
      <c r="C223">
        <v>-17.014001</v>
      </c>
      <c r="D223">
        <v>157.4</v>
      </c>
      <c r="E223">
        <v>30.1</v>
      </c>
      <c r="F223">
        <v>9.67</v>
      </c>
    </row>
    <row r="224" spans="1:6" x14ac:dyDescent="0.2">
      <c r="A224">
        <v>736787.59849999996</v>
      </c>
      <c r="B224">
        <v>-149.59537800000001</v>
      </c>
      <c r="C224">
        <v>-17.014002000000001</v>
      </c>
      <c r="D224">
        <v>156.25600006437301</v>
      </c>
      <c r="E224">
        <v>30.032000008046602</v>
      </c>
      <c r="F224">
        <v>9.6028000032186505</v>
      </c>
    </row>
    <row r="225" spans="1:6" x14ac:dyDescent="0.2">
      <c r="A225">
        <v>736787.59849999996</v>
      </c>
      <c r="B225">
        <v>-149.59538900000001</v>
      </c>
      <c r="C225">
        <v>-17.013988999999999</v>
      </c>
      <c r="D225">
        <v>156.25600006437301</v>
      </c>
      <c r="E225">
        <v>30.032000008046602</v>
      </c>
      <c r="F225">
        <v>9.6028000032186505</v>
      </c>
    </row>
    <row r="226" spans="1:6" x14ac:dyDescent="0.2">
      <c r="A226">
        <v>736787.59849999996</v>
      </c>
      <c r="B226">
        <v>-149.59540100000001</v>
      </c>
      <c r="C226">
        <v>-17.013984000000001</v>
      </c>
      <c r="D226">
        <v>156.25600006437301</v>
      </c>
      <c r="E226">
        <v>30.032000008046602</v>
      </c>
      <c r="F226">
        <v>9.6028000032186505</v>
      </c>
    </row>
    <row r="227" spans="1:6" x14ac:dyDescent="0.2">
      <c r="A227">
        <v>736787.59849999996</v>
      </c>
      <c r="B227">
        <v>-149.59540699999999</v>
      </c>
      <c r="C227">
        <v>-17.013976</v>
      </c>
      <c r="D227">
        <v>156.25600006437301</v>
      </c>
      <c r="E227">
        <v>30.032000008046602</v>
      </c>
      <c r="F227">
        <v>9.6028000032186505</v>
      </c>
    </row>
    <row r="228" spans="1:6" x14ac:dyDescent="0.2">
      <c r="A228">
        <v>736787.59849999996</v>
      </c>
      <c r="B228">
        <v>-149.59541400000001</v>
      </c>
      <c r="C228">
        <v>-17.013968999999999</v>
      </c>
      <c r="D228">
        <v>156.25600006437301</v>
      </c>
      <c r="E228">
        <v>30.032000008046602</v>
      </c>
      <c r="F228">
        <v>9.6028000032186505</v>
      </c>
    </row>
    <row r="229" spans="1:6" x14ac:dyDescent="0.2">
      <c r="A229">
        <v>736787.59860000003</v>
      </c>
      <c r="B229">
        <v>-149.595429</v>
      </c>
      <c r="C229">
        <v>-17.013963</v>
      </c>
      <c r="D229">
        <v>154.19999999999999</v>
      </c>
      <c r="E229">
        <v>30</v>
      </c>
      <c r="F229">
        <v>9.48</v>
      </c>
    </row>
    <row r="230" spans="1:6" x14ac:dyDescent="0.2">
      <c r="A230">
        <v>736787.59860000003</v>
      </c>
      <c r="B230">
        <v>-149.59543400000001</v>
      </c>
      <c r="C230">
        <v>-17.013953999999998</v>
      </c>
      <c r="D230">
        <v>154.19999999999999</v>
      </c>
      <c r="E230">
        <v>30</v>
      </c>
      <c r="F230">
        <v>9.48</v>
      </c>
    </row>
    <row r="231" spans="1:6" x14ac:dyDescent="0.2">
      <c r="A231">
        <v>736787.59860000003</v>
      </c>
      <c r="B231">
        <v>-149.59544299999999</v>
      </c>
      <c r="C231">
        <v>-17.013942</v>
      </c>
      <c r="D231">
        <v>154.19999999999999</v>
      </c>
      <c r="E231">
        <v>30</v>
      </c>
      <c r="F231">
        <v>9.48</v>
      </c>
    </row>
    <row r="232" spans="1:6" x14ac:dyDescent="0.2">
      <c r="A232">
        <v>736787.59860000003</v>
      </c>
      <c r="B232">
        <v>-149.59544600000001</v>
      </c>
      <c r="C232">
        <v>-17.013925</v>
      </c>
      <c r="D232">
        <v>154.19999999999999</v>
      </c>
      <c r="E232">
        <v>30</v>
      </c>
      <c r="F232">
        <v>9.48</v>
      </c>
    </row>
    <row r="233" spans="1:6" x14ac:dyDescent="0.2">
      <c r="A233">
        <v>736787.59860000003</v>
      </c>
      <c r="B233">
        <v>-149.59545</v>
      </c>
      <c r="C233">
        <v>-17.013915999999998</v>
      </c>
      <c r="D233">
        <v>154.19999999999999</v>
      </c>
      <c r="E233">
        <v>30</v>
      </c>
      <c r="F233">
        <v>9.48</v>
      </c>
    </row>
    <row r="234" spans="1:6" x14ac:dyDescent="0.2">
      <c r="A234">
        <v>736787.59869999997</v>
      </c>
      <c r="B234">
        <v>-149.59545399999999</v>
      </c>
      <c r="C234">
        <v>-17.013902000000002</v>
      </c>
      <c r="D234">
        <v>153.65920000482799</v>
      </c>
      <c r="E234">
        <v>30</v>
      </c>
      <c r="F234">
        <v>9.4472800003218609</v>
      </c>
    </row>
    <row r="235" spans="1:6" x14ac:dyDescent="0.2">
      <c r="A235">
        <v>736787.59869999997</v>
      </c>
      <c r="B235">
        <v>-149.59545600000001</v>
      </c>
      <c r="C235">
        <v>-17.013891000000001</v>
      </c>
      <c r="D235">
        <v>153.65920000482799</v>
      </c>
      <c r="E235">
        <v>30</v>
      </c>
      <c r="F235">
        <v>9.4472800003218609</v>
      </c>
    </row>
    <row r="236" spans="1:6" x14ac:dyDescent="0.2">
      <c r="A236">
        <v>736787.59869999997</v>
      </c>
      <c r="B236">
        <v>-149.59546399999999</v>
      </c>
      <c r="C236">
        <v>-17.013885999999999</v>
      </c>
      <c r="D236">
        <v>153.65920000482799</v>
      </c>
      <c r="E236">
        <v>30</v>
      </c>
      <c r="F236">
        <v>9.4472800003218609</v>
      </c>
    </row>
    <row r="237" spans="1:6" x14ac:dyDescent="0.2">
      <c r="A237">
        <v>736787.59869999997</v>
      </c>
      <c r="B237">
        <v>-149.59547699999999</v>
      </c>
      <c r="C237">
        <v>-17.013874999999999</v>
      </c>
      <c r="D237">
        <v>153.65920000482799</v>
      </c>
      <c r="E237">
        <v>30</v>
      </c>
      <c r="F237">
        <v>9.4472800003218609</v>
      </c>
    </row>
    <row r="238" spans="1:6" x14ac:dyDescent="0.2">
      <c r="A238">
        <v>736787.59869999997</v>
      </c>
      <c r="B238">
        <v>-149.59548799999999</v>
      </c>
      <c r="C238">
        <v>-17.013862</v>
      </c>
      <c r="D238">
        <v>153.65920000482799</v>
      </c>
      <c r="E238">
        <v>30</v>
      </c>
      <c r="F238">
        <v>9.4472800003218609</v>
      </c>
    </row>
    <row r="239" spans="1:6" x14ac:dyDescent="0.2">
      <c r="A239">
        <v>736787.59880000004</v>
      </c>
      <c r="B239">
        <v>-149.595495</v>
      </c>
      <c r="C239">
        <v>-17.013850000000001</v>
      </c>
      <c r="D239">
        <v>153.313599998391</v>
      </c>
      <c r="E239">
        <v>30</v>
      </c>
      <c r="F239">
        <v>9.43</v>
      </c>
    </row>
    <row r="240" spans="1:6" x14ac:dyDescent="0.2">
      <c r="A240">
        <v>736787.59880000004</v>
      </c>
      <c r="B240">
        <v>-149.595505</v>
      </c>
      <c r="C240">
        <v>-17.013839999999998</v>
      </c>
      <c r="D240">
        <v>153.313599998391</v>
      </c>
      <c r="E240">
        <v>30</v>
      </c>
      <c r="F240">
        <v>9.43</v>
      </c>
    </row>
    <row r="241" spans="1:6" x14ac:dyDescent="0.2">
      <c r="A241">
        <v>736787.59880000004</v>
      </c>
      <c r="B241">
        <v>-149.59551099999999</v>
      </c>
      <c r="C241">
        <v>-17.013833000000002</v>
      </c>
      <c r="D241">
        <v>153.313599998391</v>
      </c>
      <c r="E241">
        <v>30</v>
      </c>
      <c r="F241">
        <v>9.43</v>
      </c>
    </row>
    <row r="242" spans="1:6" x14ac:dyDescent="0.2">
      <c r="A242">
        <v>736787.59880000004</v>
      </c>
      <c r="B242">
        <v>-149.59551999999999</v>
      </c>
      <c r="C242">
        <v>-17.013824</v>
      </c>
      <c r="D242">
        <v>153.313599998391</v>
      </c>
      <c r="E242">
        <v>30</v>
      </c>
      <c r="F242">
        <v>9.43</v>
      </c>
    </row>
    <row r="243" spans="1:6" x14ac:dyDescent="0.2">
      <c r="A243">
        <v>736787.59880000004</v>
      </c>
      <c r="B243">
        <v>-149.59554399999999</v>
      </c>
      <c r="C243">
        <v>-17.013808000000001</v>
      </c>
      <c r="D243">
        <v>153.313599998391</v>
      </c>
      <c r="E243">
        <v>30</v>
      </c>
      <c r="F243">
        <v>9.43</v>
      </c>
    </row>
    <row r="244" spans="1:6" x14ac:dyDescent="0.2">
      <c r="A244">
        <v>736787.59880000004</v>
      </c>
      <c r="B244">
        <v>-149.595551</v>
      </c>
      <c r="C244">
        <v>-17.0138</v>
      </c>
      <c r="D244">
        <v>153.313599998391</v>
      </c>
      <c r="E244">
        <v>30</v>
      </c>
      <c r="F244">
        <v>9.43</v>
      </c>
    </row>
    <row r="245" spans="1:6" x14ac:dyDescent="0.2">
      <c r="A245">
        <v>736787.59889999998</v>
      </c>
      <c r="B245">
        <v>-149.59556499999999</v>
      </c>
      <c r="C245">
        <v>-17.013788999999999</v>
      </c>
      <c r="D245">
        <v>153.16319998068801</v>
      </c>
      <c r="E245">
        <v>30</v>
      </c>
      <c r="F245">
        <v>9.4222399985516105</v>
      </c>
    </row>
    <row r="246" spans="1:6" x14ac:dyDescent="0.2">
      <c r="A246">
        <v>736787.59889999998</v>
      </c>
      <c r="B246">
        <v>-149.59557000000001</v>
      </c>
      <c r="C246">
        <v>-17.013776</v>
      </c>
      <c r="D246">
        <v>153.16319998068801</v>
      </c>
      <c r="E246">
        <v>30</v>
      </c>
      <c r="F246">
        <v>9.4222399985516105</v>
      </c>
    </row>
    <row r="247" spans="1:6" x14ac:dyDescent="0.2">
      <c r="A247">
        <v>736787.59889999998</v>
      </c>
      <c r="B247">
        <v>-149.59557699999999</v>
      </c>
      <c r="C247">
        <v>-17.013767999999999</v>
      </c>
      <c r="D247">
        <v>153.16319998068801</v>
      </c>
      <c r="E247">
        <v>30</v>
      </c>
      <c r="F247">
        <v>9.4222399985516105</v>
      </c>
    </row>
    <row r="248" spans="1:6" x14ac:dyDescent="0.2">
      <c r="A248">
        <v>736787.59889999998</v>
      </c>
      <c r="B248">
        <v>-149.595584</v>
      </c>
      <c r="C248">
        <v>-17.013753999999999</v>
      </c>
      <c r="D248">
        <v>153.16319998068801</v>
      </c>
      <c r="E248">
        <v>30</v>
      </c>
      <c r="F248">
        <v>9.4222399985516105</v>
      </c>
    </row>
    <row r="249" spans="1:6" x14ac:dyDescent="0.2">
      <c r="A249">
        <v>736787.59889999998</v>
      </c>
      <c r="B249">
        <v>-149.59558799999999</v>
      </c>
      <c r="C249">
        <v>-17.013745</v>
      </c>
      <c r="D249">
        <v>153.16319998068801</v>
      </c>
      <c r="E249">
        <v>30</v>
      </c>
      <c r="F249">
        <v>9.4222399985516105</v>
      </c>
    </row>
    <row r="250" spans="1:6" x14ac:dyDescent="0.2">
      <c r="A250">
        <v>736787.59900000005</v>
      </c>
      <c r="B250">
        <v>-149.595597</v>
      </c>
      <c r="C250">
        <v>-17.013732999999998</v>
      </c>
      <c r="D250">
        <v>153.03200007242</v>
      </c>
      <c r="E250">
        <v>30</v>
      </c>
      <c r="F250">
        <v>9.4132000072419704</v>
      </c>
    </row>
    <row r="251" spans="1:6" x14ac:dyDescent="0.2">
      <c r="A251">
        <v>736787.59900000005</v>
      </c>
      <c r="B251">
        <v>-149.59560400000001</v>
      </c>
      <c r="C251">
        <v>-17.013724</v>
      </c>
      <c r="D251">
        <v>153.03200007242</v>
      </c>
      <c r="E251">
        <v>30</v>
      </c>
      <c r="F251">
        <v>9.4132000072419704</v>
      </c>
    </row>
    <row r="252" spans="1:6" x14ac:dyDescent="0.2">
      <c r="A252">
        <v>736787.59900000005</v>
      </c>
      <c r="B252">
        <v>-149.595617</v>
      </c>
      <c r="C252">
        <v>-17.013721</v>
      </c>
      <c r="D252">
        <v>153.03200007242</v>
      </c>
      <c r="E252">
        <v>30</v>
      </c>
      <c r="F252">
        <v>9.4132000072419704</v>
      </c>
    </row>
    <row r="253" spans="1:6" x14ac:dyDescent="0.2">
      <c r="A253">
        <v>736787.59900000005</v>
      </c>
      <c r="B253">
        <v>-149.59562299999999</v>
      </c>
      <c r="C253">
        <v>-17.013712999999999</v>
      </c>
      <c r="D253">
        <v>153.03200007242</v>
      </c>
      <c r="E253">
        <v>30</v>
      </c>
      <c r="F253">
        <v>9.4132000072419704</v>
      </c>
    </row>
    <row r="254" spans="1:6" x14ac:dyDescent="0.2">
      <c r="A254">
        <v>736787.59900000005</v>
      </c>
      <c r="B254">
        <v>-149.595631</v>
      </c>
      <c r="C254">
        <v>-17.013705999999999</v>
      </c>
      <c r="D254">
        <v>153.03200007242</v>
      </c>
      <c r="E254">
        <v>30</v>
      </c>
      <c r="F254">
        <v>9.4132000072419704</v>
      </c>
    </row>
    <row r="255" spans="1:6" x14ac:dyDescent="0.2">
      <c r="A255">
        <v>736787.59909999999</v>
      </c>
      <c r="B255">
        <v>-149.59563800000001</v>
      </c>
      <c r="C255">
        <v>-17.01369</v>
      </c>
      <c r="D255">
        <v>153.9</v>
      </c>
      <c r="E255">
        <v>30</v>
      </c>
      <c r="F255">
        <v>9.4700000000000006</v>
      </c>
    </row>
    <row r="256" spans="1:6" x14ac:dyDescent="0.2">
      <c r="A256">
        <v>736787.59909999999</v>
      </c>
      <c r="B256">
        <v>-149.59564599999999</v>
      </c>
      <c r="C256">
        <v>-17.013680999999998</v>
      </c>
      <c r="D256">
        <v>153.9</v>
      </c>
      <c r="E256">
        <v>30</v>
      </c>
      <c r="F256">
        <v>9.4700000000000006</v>
      </c>
    </row>
    <row r="257" spans="1:6" x14ac:dyDescent="0.2">
      <c r="A257">
        <v>736787.59909999999</v>
      </c>
      <c r="B257">
        <v>-149.59565599999999</v>
      </c>
      <c r="C257">
        <v>-17.013674000000002</v>
      </c>
      <c r="D257">
        <v>153.9</v>
      </c>
      <c r="E257">
        <v>30</v>
      </c>
      <c r="F257">
        <v>9.4700000000000006</v>
      </c>
    </row>
    <row r="258" spans="1:6" x14ac:dyDescent="0.2">
      <c r="A258">
        <v>736787.59909999999</v>
      </c>
      <c r="B258">
        <v>-149.595662</v>
      </c>
      <c r="C258">
        <v>-17.013667000000002</v>
      </c>
      <c r="D258">
        <v>153.9</v>
      </c>
      <c r="E258">
        <v>30</v>
      </c>
      <c r="F258">
        <v>9.4700000000000006</v>
      </c>
    </row>
    <row r="259" spans="1:6" x14ac:dyDescent="0.2">
      <c r="A259">
        <v>736787.59909999999</v>
      </c>
      <c r="B259">
        <v>-149.595674</v>
      </c>
      <c r="C259">
        <v>-17.013660999999999</v>
      </c>
      <c r="D259">
        <v>153.9</v>
      </c>
      <c r="E259">
        <v>30</v>
      </c>
      <c r="F259">
        <v>9.4700000000000006</v>
      </c>
    </row>
    <row r="260" spans="1:6" x14ac:dyDescent="0.2">
      <c r="A260">
        <v>736787.59909999999</v>
      </c>
      <c r="B260">
        <v>-149.59568400000001</v>
      </c>
      <c r="C260">
        <v>-17.013653999999999</v>
      </c>
      <c r="D260">
        <v>153.9</v>
      </c>
      <c r="E260">
        <v>30</v>
      </c>
      <c r="F260">
        <v>9.4700000000000006</v>
      </c>
    </row>
    <row r="261" spans="1:6" x14ac:dyDescent="0.2">
      <c r="A261">
        <v>736787.59909999999</v>
      </c>
      <c r="B261">
        <v>-149.59569300000001</v>
      </c>
      <c r="C261">
        <v>-17.013648</v>
      </c>
      <c r="D261">
        <v>153.9</v>
      </c>
      <c r="E261">
        <v>30</v>
      </c>
      <c r="F261">
        <v>9.4700000000000006</v>
      </c>
    </row>
    <row r="262" spans="1:6" x14ac:dyDescent="0.2">
      <c r="A262">
        <v>736787.59920000006</v>
      </c>
      <c r="B262">
        <v>-149.595707</v>
      </c>
      <c r="C262">
        <v>-17.013641</v>
      </c>
      <c r="D262">
        <v>154.13280004345199</v>
      </c>
      <c r="E262">
        <v>30</v>
      </c>
      <c r="F262">
        <v>9.4855200028967808</v>
      </c>
    </row>
    <row r="263" spans="1:6" x14ac:dyDescent="0.2">
      <c r="A263">
        <v>736787.59920000006</v>
      </c>
      <c r="B263">
        <v>-149.59571700000001</v>
      </c>
      <c r="C263">
        <v>-17.013634</v>
      </c>
      <c r="D263">
        <v>154.13280004345199</v>
      </c>
      <c r="E263">
        <v>30</v>
      </c>
      <c r="F263">
        <v>9.4855200028967808</v>
      </c>
    </row>
    <row r="264" spans="1:6" x14ac:dyDescent="0.2">
      <c r="A264">
        <v>736787.59920000006</v>
      </c>
      <c r="B264">
        <v>-149.595731</v>
      </c>
      <c r="C264">
        <v>-17.013627</v>
      </c>
      <c r="D264">
        <v>154.13280004345199</v>
      </c>
      <c r="E264">
        <v>30</v>
      </c>
      <c r="F264">
        <v>9.4855200028967808</v>
      </c>
    </row>
    <row r="265" spans="1:6" x14ac:dyDescent="0.2">
      <c r="A265">
        <v>736787.59920000006</v>
      </c>
      <c r="B265">
        <v>-149.595742</v>
      </c>
      <c r="C265">
        <v>-17.013625000000001</v>
      </c>
      <c r="D265">
        <v>154.13280004345199</v>
      </c>
      <c r="E265">
        <v>30</v>
      </c>
      <c r="F265">
        <v>9.4855200028967808</v>
      </c>
    </row>
    <row r="266" spans="1:6" x14ac:dyDescent="0.2">
      <c r="A266">
        <v>736787.59920000006</v>
      </c>
      <c r="B266">
        <v>-149.59575599999999</v>
      </c>
      <c r="C266">
        <v>-17.01362</v>
      </c>
      <c r="D266">
        <v>154.13280004345199</v>
      </c>
      <c r="E266">
        <v>30</v>
      </c>
      <c r="F266">
        <v>9.4855200028967808</v>
      </c>
    </row>
    <row r="267" spans="1:6" x14ac:dyDescent="0.2">
      <c r="A267">
        <v>736787.59920000006</v>
      </c>
      <c r="B267">
        <v>-149.59576999999999</v>
      </c>
      <c r="C267">
        <v>-17.013618000000001</v>
      </c>
      <c r="D267">
        <v>154.13280004345199</v>
      </c>
      <c r="E267">
        <v>30</v>
      </c>
      <c r="F267">
        <v>9.4855200028967808</v>
      </c>
    </row>
    <row r="268" spans="1:6" x14ac:dyDescent="0.2">
      <c r="A268">
        <v>736787.5993</v>
      </c>
      <c r="B268">
        <v>-149.59578500000001</v>
      </c>
      <c r="C268">
        <v>-17.013621000000001</v>
      </c>
      <c r="D268">
        <v>153.79679985837899</v>
      </c>
      <c r="E268">
        <v>29.9495999822974</v>
      </c>
      <c r="F268">
        <v>9.4647999911487197</v>
      </c>
    </row>
    <row r="269" spans="1:6" x14ac:dyDescent="0.2">
      <c r="A269">
        <v>736787.5993</v>
      </c>
      <c r="B269">
        <v>-149.595798</v>
      </c>
      <c r="C269">
        <v>-17.013618999999998</v>
      </c>
      <c r="D269">
        <v>153.79679985837899</v>
      </c>
      <c r="E269">
        <v>29.9495999822974</v>
      </c>
      <c r="F269">
        <v>9.4647999911487197</v>
      </c>
    </row>
    <row r="270" spans="1:6" x14ac:dyDescent="0.2">
      <c r="A270">
        <v>736787.5993</v>
      </c>
      <c r="B270">
        <v>-149.59580600000001</v>
      </c>
      <c r="C270">
        <v>-17.013618000000001</v>
      </c>
      <c r="D270">
        <v>153.79679985837899</v>
      </c>
      <c r="E270">
        <v>29.9495999822974</v>
      </c>
      <c r="F270">
        <v>9.4647999911487197</v>
      </c>
    </row>
    <row r="271" spans="1:6" x14ac:dyDescent="0.2">
      <c r="A271">
        <v>736787.5993</v>
      </c>
      <c r="B271">
        <v>-149.595822</v>
      </c>
      <c r="C271">
        <v>-17.013611999999998</v>
      </c>
      <c r="D271">
        <v>153.79679985837899</v>
      </c>
      <c r="E271">
        <v>29.9495999822974</v>
      </c>
      <c r="F271">
        <v>9.4647999911487197</v>
      </c>
    </row>
    <row r="272" spans="1:6" x14ac:dyDescent="0.2">
      <c r="A272">
        <v>736787.5993</v>
      </c>
      <c r="B272">
        <v>-149.59583799999999</v>
      </c>
      <c r="C272">
        <v>-17.013611000000001</v>
      </c>
      <c r="D272">
        <v>153.79679985837899</v>
      </c>
      <c r="E272">
        <v>29.9495999822974</v>
      </c>
      <c r="F272">
        <v>9.4647999911487197</v>
      </c>
    </row>
    <row r="273" spans="1:6" x14ac:dyDescent="0.2">
      <c r="A273">
        <v>736787.59939999995</v>
      </c>
      <c r="B273">
        <v>-149.59584599999999</v>
      </c>
      <c r="C273">
        <v>-17.013601000000001</v>
      </c>
      <c r="D273">
        <v>153.02160160289</v>
      </c>
      <c r="E273">
        <v>29.9</v>
      </c>
      <c r="F273">
        <v>9.4237600935019401</v>
      </c>
    </row>
    <row r="274" spans="1:6" x14ac:dyDescent="0.2">
      <c r="A274">
        <v>736787.59939999995</v>
      </c>
      <c r="B274">
        <v>-149.59585000000001</v>
      </c>
      <c r="C274">
        <v>-17.013591000000002</v>
      </c>
      <c r="D274">
        <v>153.02160160289</v>
      </c>
      <c r="E274">
        <v>29.9</v>
      </c>
      <c r="F274">
        <v>9.4237600935019401</v>
      </c>
    </row>
    <row r="275" spans="1:6" x14ac:dyDescent="0.2">
      <c r="A275">
        <v>736787.59939999995</v>
      </c>
      <c r="B275">
        <v>-149.595854</v>
      </c>
      <c r="C275">
        <v>-17.013582</v>
      </c>
      <c r="D275">
        <v>153.02160160289</v>
      </c>
      <c r="E275">
        <v>29.9</v>
      </c>
      <c r="F275">
        <v>9.4237600935019401</v>
      </c>
    </row>
    <row r="276" spans="1:6" x14ac:dyDescent="0.2">
      <c r="A276">
        <v>736787.59939999995</v>
      </c>
      <c r="B276">
        <v>-149.59586400000001</v>
      </c>
      <c r="C276">
        <v>-17.013573999999998</v>
      </c>
      <c r="D276">
        <v>153.02160160289</v>
      </c>
      <c r="E276">
        <v>29.9</v>
      </c>
      <c r="F276">
        <v>9.4237600935019401</v>
      </c>
    </row>
    <row r="277" spans="1:6" x14ac:dyDescent="0.2">
      <c r="A277">
        <v>736787.59939999995</v>
      </c>
      <c r="B277">
        <v>-149.595876</v>
      </c>
      <c r="C277">
        <v>-17.013570000000001</v>
      </c>
      <c r="D277">
        <v>153.02160160289</v>
      </c>
      <c r="E277">
        <v>29.9</v>
      </c>
      <c r="F277">
        <v>9.4237600935019401</v>
      </c>
    </row>
    <row r="278" spans="1:6" x14ac:dyDescent="0.2">
      <c r="A278">
        <v>736787.59950000001</v>
      </c>
      <c r="B278">
        <v>-149.59589</v>
      </c>
      <c r="C278">
        <v>-17.013563000000001</v>
      </c>
      <c r="D278">
        <v>150.85199968618201</v>
      </c>
      <c r="E278">
        <v>29.9</v>
      </c>
      <c r="F278">
        <v>9.2931999806881098</v>
      </c>
    </row>
    <row r="279" spans="1:6" x14ac:dyDescent="0.2">
      <c r="A279">
        <v>736787.59950000001</v>
      </c>
      <c r="B279">
        <v>-149.595902</v>
      </c>
      <c r="C279">
        <v>-17.013559000000001</v>
      </c>
      <c r="D279">
        <v>150.85199968618201</v>
      </c>
      <c r="E279">
        <v>29.9</v>
      </c>
      <c r="F279">
        <v>9.2931999806881098</v>
      </c>
    </row>
    <row r="280" spans="1:6" x14ac:dyDescent="0.2">
      <c r="A280">
        <v>736787.59950000001</v>
      </c>
      <c r="B280">
        <v>-149.595912</v>
      </c>
      <c r="C280">
        <v>-17.013558</v>
      </c>
      <c r="D280">
        <v>150.85199968618201</v>
      </c>
      <c r="E280">
        <v>29.9</v>
      </c>
      <c r="F280">
        <v>9.2931999806881098</v>
      </c>
    </row>
    <row r="281" spans="1:6" x14ac:dyDescent="0.2">
      <c r="A281">
        <v>736787.59950000001</v>
      </c>
      <c r="B281">
        <v>-149.59592799999999</v>
      </c>
      <c r="C281">
        <v>-17.013560999999999</v>
      </c>
      <c r="D281">
        <v>150.85199968618201</v>
      </c>
      <c r="E281">
        <v>29.9</v>
      </c>
      <c r="F281">
        <v>9.2931999806881098</v>
      </c>
    </row>
    <row r="282" spans="1:6" x14ac:dyDescent="0.2">
      <c r="A282">
        <v>736787.59950000001</v>
      </c>
      <c r="B282">
        <v>-149.59593799999999</v>
      </c>
      <c r="C282">
        <v>-17.013558</v>
      </c>
      <c r="D282">
        <v>150.85199968618201</v>
      </c>
      <c r="E282">
        <v>29.9</v>
      </c>
      <c r="F282">
        <v>9.2931999806881098</v>
      </c>
    </row>
    <row r="283" spans="1:6" x14ac:dyDescent="0.2">
      <c r="A283">
        <v>736787.59950000001</v>
      </c>
      <c r="B283">
        <v>-149.59594999999999</v>
      </c>
      <c r="C283">
        <v>-17.013556000000001</v>
      </c>
      <c r="D283">
        <v>150.85199968618201</v>
      </c>
      <c r="E283">
        <v>29.9</v>
      </c>
      <c r="F283">
        <v>9.2931999806881098</v>
      </c>
    </row>
    <row r="284" spans="1:6" x14ac:dyDescent="0.2">
      <c r="A284">
        <v>736787.59950000001</v>
      </c>
      <c r="B284">
        <v>-149.59595999999999</v>
      </c>
      <c r="C284">
        <v>-17.013556999999999</v>
      </c>
      <c r="D284">
        <v>150.85199968618201</v>
      </c>
      <c r="E284">
        <v>29.9</v>
      </c>
      <c r="F284">
        <v>9.2931999806881098</v>
      </c>
    </row>
    <row r="285" spans="1:6" x14ac:dyDescent="0.2">
      <c r="A285">
        <v>736787.59959999996</v>
      </c>
      <c r="B285">
        <v>-149.595978</v>
      </c>
      <c r="C285">
        <v>-17.013549999999999</v>
      </c>
      <c r="D285">
        <v>149.95600002011699</v>
      </c>
      <c r="E285">
        <v>29.9</v>
      </c>
      <c r="F285">
        <v>9.2393600012069896</v>
      </c>
    </row>
    <row r="286" spans="1:6" x14ac:dyDescent="0.2">
      <c r="A286">
        <v>736787.59959999996</v>
      </c>
      <c r="B286">
        <v>-149.59598800000001</v>
      </c>
      <c r="C286">
        <v>-17.013551</v>
      </c>
      <c r="D286">
        <v>149.95600002011699</v>
      </c>
      <c r="E286">
        <v>29.9</v>
      </c>
      <c r="F286">
        <v>9.2393600012069896</v>
      </c>
    </row>
    <row r="287" spans="1:6" x14ac:dyDescent="0.2">
      <c r="A287">
        <v>736787.59959999996</v>
      </c>
      <c r="B287">
        <v>-149.59600399999999</v>
      </c>
      <c r="C287">
        <v>-17.013545000000001</v>
      </c>
      <c r="D287">
        <v>149.95600002011699</v>
      </c>
      <c r="E287">
        <v>29.9</v>
      </c>
      <c r="F287">
        <v>9.2393600012069896</v>
      </c>
    </row>
    <row r="288" spans="1:6" x14ac:dyDescent="0.2">
      <c r="A288">
        <v>736787.59959999996</v>
      </c>
      <c r="B288">
        <v>-149.596014</v>
      </c>
      <c r="C288">
        <v>-17.013544</v>
      </c>
      <c r="D288">
        <v>149.95600002011699</v>
      </c>
      <c r="E288">
        <v>29.9</v>
      </c>
      <c r="F288">
        <v>9.2393600012069896</v>
      </c>
    </row>
    <row r="289" spans="1:6" x14ac:dyDescent="0.2">
      <c r="A289">
        <v>736787.59959999996</v>
      </c>
      <c r="B289">
        <v>-149.59603000000001</v>
      </c>
      <c r="C289">
        <v>-17.013538</v>
      </c>
      <c r="D289">
        <v>149.95600002011699</v>
      </c>
      <c r="E289">
        <v>29.9</v>
      </c>
      <c r="F289">
        <v>9.2393600012069896</v>
      </c>
    </row>
    <row r="290" spans="1:6" x14ac:dyDescent="0.2">
      <c r="A290">
        <v>736787.59970000002</v>
      </c>
      <c r="B290">
        <v>-149.59604200000001</v>
      </c>
      <c r="C290">
        <v>-17.013532000000001</v>
      </c>
      <c r="D290">
        <v>147.69999999999999</v>
      </c>
      <c r="E290">
        <v>29.8</v>
      </c>
      <c r="F290">
        <v>9.11</v>
      </c>
    </row>
    <row r="291" spans="1:6" x14ac:dyDescent="0.2">
      <c r="A291">
        <v>736787.59970000002</v>
      </c>
      <c r="B291">
        <v>-149.59605400000001</v>
      </c>
      <c r="C291">
        <v>-17.013522999999999</v>
      </c>
      <c r="D291">
        <v>147.69999999999999</v>
      </c>
      <c r="E291">
        <v>29.8</v>
      </c>
      <c r="F291">
        <v>9.11</v>
      </c>
    </row>
    <row r="292" spans="1:6" x14ac:dyDescent="0.2">
      <c r="A292">
        <v>736787.59970000002</v>
      </c>
      <c r="B292">
        <v>-149.59606400000001</v>
      </c>
      <c r="C292">
        <v>-17.01352</v>
      </c>
      <c r="D292">
        <v>147.69999999999999</v>
      </c>
      <c r="E292">
        <v>29.8</v>
      </c>
      <c r="F292">
        <v>9.11</v>
      </c>
    </row>
    <row r="293" spans="1:6" x14ac:dyDescent="0.2">
      <c r="A293">
        <v>736787.59970000002</v>
      </c>
      <c r="B293">
        <v>-149.59608399999999</v>
      </c>
      <c r="C293">
        <v>-17.013528000000001</v>
      </c>
      <c r="D293">
        <v>147.69999999999999</v>
      </c>
      <c r="E293">
        <v>29.8</v>
      </c>
      <c r="F293">
        <v>9.11</v>
      </c>
    </row>
    <row r="294" spans="1:6" x14ac:dyDescent="0.2">
      <c r="A294">
        <v>736787.59979999997</v>
      </c>
      <c r="B294">
        <v>-149.596102</v>
      </c>
      <c r="C294">
        <v>-17.013525000000001</v>
      </c>
      <c r="D294">
        <v>146.49920096881499</v>
      </c>
      <c r="E294">
        <v>29.8</v>
      </c>
      <c r="F294">
        <v>9.0342400553608702</v>
      </c>
    </row>
    <row r="295" spans="1:6" x14ac:dyDescent="0.2">
      <c r="A295">
        <v>736787.59979999997</v>
      </c>
      <c r="B295">
        <v>-149.59611200000001</v>
      </c>
      <c r="C295">
        <v>-17.01352</v>
      </c>
      <c r="D295">
        <v>146.49920096881499</v>
      </c>
      <c r="E295">
        <v>29.8</v>
      </c>
      <c r="F295">
        <v>9.0342400553608702</v>
      </c>
    </row>
    <row r="296" spans="1:6" x14ac:dyDescent="0.2">
      <c r="A296">
        <v>736787.59979999997</v>
      </c>
      <c r="B296">
        <v>-149.59612000000001</v>
      </c>
      <c r="C296">
        <v>-17.013511000000001</v>
      </c>
      <c r="D296">
        <v>146.49920096881499</v>
      </c>
      <c r="E296">
        <v>29.8</v>
      </c>
      <c r="F296">
        <v>9.0342400553608702</v>
      </c>
    </row>
    <row r="297" spans="1:6" x14ac:dyDescent="0.2">
      <c r="A297">
        <v>736787.59979999997</v>
      </c>
      <c r="B297">
        <v>-149.59612799999999</v>
      </c>
      <c r="C297">
        <v>-17.013497999999998</v>
      </c>
      <c r="D297">
        <v>146.49920096881499</v>
      </c>
      <c r="E297">
        <v>29.8</v>
      </c>
      <c r="F297">
        <v>9.0342400553608702</v>
      </c>
    </row>
    <row r="298" spans="1:6" x14ac:dyDescent="0.2">
      <c r="A298">
        <v>736787.59979999997</v>
      </c>
      <c r="B298">
        <v>-149.596136</v>
      </c>
      <c r="C298">
        <v>-17.013491999999999</v>
      </c>
      <c r="D298">
        <v>146.49920096881499</v>
      </c>
      <c r="E298">
        <v>29.8</v>
      </c>
      <c r="F298">
        <v>9.0342400553608702</v>
      </c>
    </row>
    <row r="299" spans="1:6" x14ac:dyDescent="0.2">
      <c r="A299">
        <v>736787.59990000003</v>
      </c>
      <c r="B299">
        <v>-149.59614999999999</v>
      </c>
      <c r="C299">
        <v>-17.013484999999999</v>
      </c>
      <c r="D299">
        <v>145.9</v>
      </c>
      <c r="E299">
        <v>29.8</v>
      </c>
      <c r="F299">
        <v>9</v>
      </c>
    </row>
    <row r="300" spans="1:6" x14ac:dyDescent="0.2">
      <c r="A300">
        <v>736787.59990000003</v>
      </c>
      <c r="B300">
        <v>-149.59616600000001</v>
      </c>
      <c r="C300">
        <v>-17.013476000000001</v>
      </c>
      <c r="D300">
        <v>145.9</v>
      </c>
      <c r="E300">
        <v>29.8</v>
      </c>
      <c r="F300">
        <v>9</v>
      </c>
    </row>
    <row r="301" spans="1:6" x14ac:dyDescent="0.2">
      <c r="A301">
        <v>736787.59990000003</v>
      </c>
      <c r="B301">
        <v>-149.59618399999999</v>
      </c>
      <c r="C301">
        <v>-17.013469000000001</v>
      </c>
      <c r="D301">
        <v>145.9</v>
      </c>
      <c r="E301">
        <v>29.8</v>
      </c>
      <c r="F301">
        <v>9</v>
      </c>
    </row>
    <row r="302" spans="1:6" x14ac:dyDescent="0.2">
      <c r="A302">
        <v>736787.6</v>
      </c>
      <c r="B302">
        <v>-149.59620000000001</v>
      </c>
      <c r="C302">
        <v>-17.013466999999999</v>
      </c>
      <c r="D302">
        <v>145.080000201166</v>
      </c>
      <c r="E302">
        <v>29.770000050291401</v>
      </c>
      <c r="F302">
        <v>8.9540000100582908</v>
      </c>
    </row>
    <row r="303" spans="1:6" x14ac:dyDescent="0.2">
      <c r="A303">
        <v>736787.6</v>
      </c>
      <c r="B303">
        <v>-149.596216</v>
      </c>
      <c r="C303">
        <v>-17.013461</v>
      </c>
      <c r="D303">
        <v>145.080000201166</v>
      </c>
      <c r="E303">
        <v>29.770000050291401</v>
      </c>
      <c r="F303">
        <v>8.9540000100582908</v>
      </c>
    </row>
    <row r="304" spans="1:6" x14ac:dyDescent="0.2">
      <c r="A304">
        <v>736787.6</v>
      </c>
      <c r="B304">
        <v>-149.596226</v>
      </c>
      <c r="C304">
        <v>-17.013461</v>
      </c>
      <c r="D304">
        <v>145.080000201166</v>
      </c>
      <c r="E304">
        <v>29.770000050291401</v>
      </c>
      <c r="F304">
        <v>8.9540000100582908</v>
      </c>
    </row>
    <row r="305" spans="1:6" x14ac:dyDescent="0.2">
      <c r="A305">
        <v>736787.6</v>
      </c>
      <c r="B305">
        <v>-149.59623300000001</v>
      </c>
      <c r="C305">
        <v>-17.013461</v>
      </c>
      <c r="D305">
        <v>145.080000201166</v>
      </c>
      <c r="E305">
        <v>29.770000050291401</v>
      </c>
      <c r="F305">
        <v>8.9540000100582908</v>
      </c>
    </row>
    <row r="306" spans="1:6" x14ac:dyDescent="0.2">
      <c r="A306">
        <v>736787.6</v>
      </c>
      <c r="B306">
        <v>-149.596248</v>
      </c>
      <c r="C306">
        <v>-17.013449999999999</v>
      </c>
      <c r="D306">
        <v>145.080000201166</v>
      </c>
      <c r="E306">
        <v>29.770000050291401</v>
      </c>
      <c r="F306">
        <v>8.9540000100582908</v>
      </c>
    </row>
    <row r="307" spans="1:6" x14ac:dyDescent="0.2">
      <c r="A307">
        <v>736787.6</v>
      </c>
      <c r="B307">
        <v>-149.59625800000001</v>
      </c>
      <c r="C307">
        <v>-17.013442000000001</v>
      </c>
      <c r="D307">
        <v>145.080000201166</v>
      </c>
      <c r="E307">
        <v>29.770000050291401</v>
      </c>
      <c r="F307">
        <v>8.9540000100582908</v>
      </c>
    </row>
    <row r="308" spans="1:6" x14ac:dyDescent="0.2">
      <c r="A308">
        <v>736787.60010000004</v>
      </c>
      <c r="B308">
        <v>-149.59626900000001</v>
      </c>
      <c r="C308">
        <v>-17.013432000000002</v>
      </c>
      <c r="D308">
        <v>144.57039969583801</v>
      </c>
      <c r="E308">
        <v>29.7</v>
      </c>
      <c r="F308">
        <v>8.9268799826192993</v>
      </c>
    </row>
    <row r="309" spans="1:6" x14ac:dyDescent="0.2">
      <c r="A309">
        <v>736787.60010000004</v>
      </c>
      <c r="B309">
        <v>-149.596283</v>
      </c>
      <c r="C309">
        <v>-17.013423</v>
      </c>
      <c r="D309">
        <v>144.57039969583801</v>
      </c>
      <c r="E309">
        <v>29.7</v>
      </c>
      <c r="F309">
        <v>8.9268799826192993</v>
      </c>
    </row>
    <row r="310" spans="1:6" x14ac:dyDescent="0.2">
      <c r="A310">
        <v>736787.60010000004</v>
      </c>
      <c r="B310">
        <v>-149.596294</v>
      </c>
      <c r="C310">
        <v>-17.013413</v>
      </c>
      <c r="D310">
        <v>144.57039969583801</v>
      </c>
      <c r="E310">
        <v>29.7</v>
      </c>
      <c r="F310">
        <v>8.9268799826192993</v>
      </c>
    </row>
    <row r="311" spans="1:6" x14ac:dyDescent="0.2">
      <c r="A311">
        <v>736787.60010000004</v>
      </c>
      <c r="B311">
        <v>-149.59630200000001</v>
      </c>
      <c r="C311">
        <v>-17.013407000000001</v>
      </c>
      <c r="D311">
        <v>144.57039969583801</v>
      </c>
      <c r="E311">
        <v>29.7</v>
      </c>
      <c r="F311">
        <v>8.9268799826192993</v>
      </c>
    </row>
    <row r="312" spans="1:6" x14ac:dyDescent="0.2">
      <c r="A312">
        <v>736787.60019999999</v>
      </c>
      <c r="B312">
        <v>-149.59631200000001</v>
      </c>
      <c r="C312">
        <v>-17.013404000000001</v>
      </c>
      <c r="D312">
        <v>143.07199976664799</v>
      </c>
      <c r="E312">
        <v>29.7</v>
      </c>
      <c r="F312">
        <v>8.8383199859988792</v>
      </c>
    </row>
    <row r="313" spans="1:6" x14ac:dyDescent="0.2">
      <c r="A313">
        <v>736787.60019999999</v>
      </c>
      <c r="B313">
        <v>-149.59632500000001</v>
      </c>
      <c r="C313">
        <v>-17.013407999999998</v>
      </c>
      <c r="D313">
        <v>143.07199976664799</v>
      </c>
      <c r="E313">
        <v>29.7</v>
      </c>
      <c r="F313">
        <v>8.8383199859988792</v>
      </c>
    </row>
    <row r="314" spans="1:6" x14ac:dyDescent="0.2">
      <c r="A314">
        <v>736787.60019999999</v>
      </c>
      <c r="B314">
        <v>-149.59634</v>
      </c>
      <c r="C314">
        <v>-17.013407000000001</v>
      </c>
      <c r="D314">
        <v>143.07199976664799</v>
      </c>
      <c r="E314">
        <v>29.7</v>
      </c>
      <c r="F314">
        <v>8.8383199859988792</v>
      </c>
    </row>
    <row r="315" spans="1:6" x14ac:dyDescent="0.2">
      <c r="A315">
        <v>736787.60019999999</v>
      </c>
      <c r="B315">
        <v>-149.59635700000001</v>
      </c>
      <c r="C315">
        <v>-17.013404999999999</v>
      </c>
      <c r="D315">
        <v>143.07199976664799</v>
      </c>
      <c r="E315">
        <v>29.7</v>
      </c>
      <c r="F315">
        <v>8.8383199859988792</v>
      </c>
    </row>
    <row r="316" spans="1:6" x14ac:dyDescent="0.2">
      <c r="A316">
        <v>736787.60019999999</v>
      </c>
      <c r="B316">
        <v>-149.59636699999999</v>
      </c>
      <c r="C316">
        <v>-17.013404000000001</v>
      </c>
      <c r="D316">
        <v>143.07199976664799</v>
      </c>
      <c r="E316">
        <v>29.7</v>
      </c>
      <c r="F316">
        <v>8.8383199859988792</v>
      </c>
    </row>
    <row r="317" spans="1:6" x14ac:dyDescent="0.2">
      <c r="A317">
        <v>736787.60030000005</v>
      </c>
      <c r="B317">
        <v>-149.59638100000001</v>
      </c>
      <c r="C317">
        <v>-17.013401999999999</v>
      </c>
      <c r="D317">
        <v>142.6</v>
      </c>
      <c r="E317">
        <v>29.7</v>
      </c>
      <c r="F317">
        <v>8.81</v>
      </c>
    </row>
    <row r="318" spans="1:6" x14ac:dyDescent="0.2">
      <c r="A318">
        <v>736787.60030000005</v>
      </c>
      <c r="B318">
        <v>-149.59639300000001</v>
      </c>
      <c r="C318">
        <v>-17.013404000000001</v>
      </c>
      <c r="D318">
        <v>142.6</v>
      </c>
      <c r="E318">
        <v>29.7</v>
      </c>
      <c r="F318">
        <v>8.81</v>
      </c>
    </row>
    <row r="319" spans="1:6" x14ac:dyDescent="0.2">
      <c r="A319">
        <v>736787.60030000005</v>
      </c>
      <c r="B319">
        <v>-149.59640400000001</v>
      </c>
      <c r="C319">
        <v>-17.013400000000001</v>
      </c>
      <c r="D319">
        <v>142.6</v>
      </c>
      <c r="E319">
        <v>29.7</v>
      </c>
      <c r="F319">
        <v>8.81</v>
      </c>
    </row>
    <row r="320" spans="1:6" x14ac:dyDescent="0.2">
      <c r="A320">
        <v>736787.60030000005</v>
      </c>
      <c r="B320">
        <v>-149.596418</v>
      </c>
      <c r="C320">
        <v>-17.013394999999999</v>
      </c>
      <c r="D320">
        <v>142.6</v>
      </c>
      <c r="E320">
        <v>29.7</v>
      </c>
      <c r="F320">
        <v>8.81</v>
      </c>
    </row>
    <row r="321" spans="1:6" x14ac:dyDescent="0.2">
      <c r="A321">
        <v>736787.6004</v>
      </c>
      <c r="B321">
        <v>-149.59642400000001</v>
      </c>
      <c r="C321">
        <v>-17.013387999999999</v>
      </c>
      <c r="D321">
        <v>142.34639984067701</v>
      </c>
      <c r="E321">
        <v>29.7</v>
      </c>
      <c r="F321">
        <v>8.7997599893784599</v>
      </c>
    </row>
    <row r="322" spans="1:6" x14ac:dyDescent="0.2">
      <c r="A322">
        <v>736787.60049999994</v>
      </c>
      <c r="B322">
        <v>-149.596442</v>
      </c>
      <c r="C322">
        <v>-17.013385</v>
      </c>
      <c r="D322">
        <v>142.03200101387401</v>
      </c>
      <c r="E322">
        <v>29.7</v>
      </c>
      <c r="F322">
        <v>8.7804000579356796</v>
      </c>
    </row>
    <row r="323" spans="1:6" x14ac:dyDescent="0.2">
      <c r="A323">
        <v>736787.60049999994</v>
      </c>
      <c r="B323">
        <v>-149.596452</v>
      </c>
      <c r="C323">
        <v>-17.013383000000001</v>
      </c>
      <c r="D323">
        <v>142.03200101387401</v>
      </c>
      <c r="E323">
        <v>29.7</v>
      </c>
      <c r="F323">
        <v>8.7804000579356796</v>
      </c>
    </row>
    <row r="324" spans="1:6" x14ac:dyDescent="0.2">
      <c r="A324">
        <v>736787.60049999994</v>
      </c>
      <c r="B324">
        <v>-149.596463</v>
      </c>
      <c r="C324">
        <v>-17.013383000000001</v>
      </c>
      <c r="D324">
        <v>142.03200101387401</v>
      </c>
      <c r="E324">
        <v>29.7</v>
      </c>
      <c r="F324">
        <v>8.7804000579356796</v>
      </c>
    </row>
    <row r="325" spans="1:6" x14ac:dyDescent="0.2">
      <c r="A325">
        <v>736787.60060000001</v>
      </c>
      <c r="B325">
        <v>-149.59647899999999</v>
      </c>
      <c r="C325">
        <v>-17.013376999999998</v>
      </c>
      <c r="D325">
        <v>140.33839936270601</v>
      </c>
      <c r="E325">
        <v>29.7</v>
      </c>
      <c r="F325">
        <v>8.6725599575137498</v>
      </c>
    </row>
    <row r="326" spans="1:6" x14ac:dyDescent="0.2">
      <c r="A326">
        <v>736787.60060000001</v>
      </c>
      <c r="B326">
        <v>-149.59649400000001</v>
      </c>
      <c r="C326">
        <v>-17.013380000000002</v>
      </c>
      <c r="D326">
        <v>140.33839936270601</v>
      </c>
      <c r="E326">
        <v>29.7</v>
      </c>
      <c r="F326">
        <v>8.6725599575137498</v>
      </c>
    </row>
    <row r="327" spans="1:6" x14ac:dyDescent="0.2">
      <c r="A327">
        <v>736787.60060000001</v>
      </c>
      <c r="B327">
        <v>-149.59650500000001</v>
      </c>
      <c r="C327">
        <v>-17.013380000000002</v>
      </c>
      <c r="D327">
        <v>140.33839936270601</v>
      </c>
      <c r="E327">
        <v>29.7</v>
      </c>
      <c r="F327">
        <v>8.6725599575137498</v>
      </c>
    </row>
    <row r="328" spans="1:6" x14ac:dyDescent="0.2">
      <c r="A328">
        <v>736787.60060000001</v>
      </c>
      <c r="B328">
        <v>-149.59652199999999</v>
      </c>
      <c r="C328">
        <v>-17.013373999999999</v>
      </c>
      <c r="D328">
        <v>140.33839936270601</v>
      </c>
      <c r="E328">
        <v>29.7</v>
      </c>
      <c r="F328">
        <v>8.6725599575137498</v>
      </c>
    </row>
    <row r="329" spans="1:6" x14ac:dyDescent="0.2">
      <c r="A329">
        <v>736787.60060000001</v>
      </c>
      <c r="B329">
        <v>-149.59653700000001</v>
      </c>
      <c r="C329">
        <v>-17.013370999999999</v>
      </c>
      <c r="D329">
        <v>140.33839936270601</v>
      </c>
      <c r="E329">
        <v>29.7</v>
      </c>
      <c r="F329">
        <v>8.6725599575137498</v>
      </c>
    </row>
    <row r="330" spans="1:6" x14ac:dyDescent="0.2">
      <c r="A330">
        <v>736787.60069999995</v>
      </c>
      <c r="B330">
        <v>-149.59654800000001</v>
      </c>
      <c r="C330">
        <v>-17.013373000000001</v>
      </c>
      <c r="D330">
        <v>139.882400830411</v>
      </c>
      <c r="E330">
        <v>29.7</v>
      </c>
      <c r="F330">
        <v>8.64912004152057</v>
      </c>
    </row>
    <row r="331" spans="1:6" x14ac:dyDescent="0.2">
      <c r="A331">
        <v>736787.60069999995</v>
      </c>
      <c r="B331">
        <v>-149.59655100000001</v>
      </c>
      <c r="C331">
        <v>-17.013377999999999</v>
      </c>
      <c r="D331">
        <v>139.882400830411</v>
      </c>
      <c r="E331">
        <v>29.7</v>
      </c>
      <c r="F331">
        <v>8.64912004152057</v>
      </c>
    </row>
    <row r="332" spans="1:6" x14ac:dyDescent="0.2">
      <c r="A332">
        <v>736787.60069999995</v>
      </c>
      <c r="B332">
        <v>-149.596553</v>
      </c>
      <c r="C332">
        <v>-17.013387999999999</v>
      </c>
      <c r="D332">
        <v>139.882400830411</v>
      </c>
      <c r="E332">
        <v>29.7</v>
      </c>
      <c r="F332">
        <v>8.64912004152057</v>
      </c>
    </row>
    <row r="333" spans="1:6" x14ac:dyDescent="0.2">
      <c r="A333">
        <v>736787.60069999995</v>
      </c>
      <c r="B333">
        <v>-149.596554</v>
      </c>
      <c r="C333">
        <v>-17.013397999999999</v>
      </c>
      <c r="D333">
        <v>139.882400830411</v>
      </c>
      <c r="E333">
        <v>29.7</v>
      </c>
      <c r="F333">
        <v>8.64912004152057</v>
      </c>
    </row>
    <row r="334" spans="1:6" x14ac:dyDescent="0.2">
      <c r="A334">
        <v>736787.60069999995</v>
      </c>
      <c r="B334">
        <v>-149.59655599999999</v>
      </c>
      <c r="C334">
        <v>-17.013407999999998</v>
      </c>
      <c r="D334">
        <v>139.882400830411</v>
      </c>
      <c r="E334">
        <v>29.7</v>
      </c>
      <c r="F334">
        <v>8.64912004152057</v>
      </c>
    </row>
    <row r="335" spans="1:6" x14ac:dyDescent="0.2">
      <c r="A335">
        <v>736787.60080000001</v>
      </c>
      <c r="B335">
        <v>-149.596552</v>
      </c>
      <c r="C335">
        <v>-17.013424000000001</v>
      </c>
      <c r="D335">
        <v>140.30000000000001</v>
      </c>
      <c r="E335">
        <v>29.742400065982299</v>
      </c>
      <c r="F335">
        <v>8.6657599934017693</v>
      </c>
    </row>
    <row r="336" spans="1:6" x14ac:dyDescent="0.2">
      <c r="A336">
        <v>736787.60080000001</v>
      </c>
      <c r="B336">
        <v>-149.59654900000001</v>
      </c>
      <c r="C336">
        <v>-17.013434</v>
      </c>
      <c r="D336">
        <v>140.30000000000001</v>
      </c>
      <c r="E336">
        <v>29.742400065982299</v>
      </c>
      <c r="F336">
        <v>8.6657599934017693</v>
      </c>
    </row>
    <row r="337" spans="1:6" x14ac:dyDescent="0.2">
      <c r="A337">
        <v>736787.60080000001</v>
      </c>
      <c r="B337">
        <v>-149.59654399999999</v>
      </c>
      <c r="C337">
        <v>-17.013444</v>
      </c>
      <c r="D337">
        <v>140.30000000000001</v>
      </c>
      <c r="E337">
        <v>29.742400065982299</v>
      </c>
      <c r="F337">
        <v>8.6657599934017693</v>
      </c>
    </row>
    <row r="338" spans="1:6" x14ac:dyDescent="0.2">
      <c r="A338">
        <v>736787.60080000001</v>
      </c>
      <c r="B338">
        <v>-149.59653900000001</v>
      </c>
      <c r="C338">
        <v>-17.013453999999999</v>
      </c>
      <c r="D338">
        <v>140.30000000000001</v>
      </c>
      <c r="E338">
        <v>29.742400065982299</v>
      </c>
      <c r="F338">
        <v>8.6657599934017693</v>
      </c>
    </row>
    <row r="339" spans="1:6" x14ac:dyDescent="0.2">
      <c r="A339">
        <v>736787.60080000001</v>
      </c>
      <c r="B339">
        <v>-149.596532</v>
      </c>
      <c r="C339">
        <v>-17.013466000000001</v>
      </c>
      <c r="D339">
        <v>140.30000000000001</v>
      </c>
      <c r="E339">
        <v>29.742400065982299</v>
      </c>
      <c r="F339">
        <v>8.6657599934017693</v>
      </c>
    </row>
    <row r="340" spans="1:6" x14ac:dyDescent="0.2">
      <c r="A340">
        <v>736787.60080000001</v>
      </c>
      <c r="B340">
        <v>-149.59652399999999</v>
      </c>
      <c r="C340">
        <v>-17.013473999999999</v>
      </c>
      <c r="D340">
        <v>140.30000000000001</v>
      </c>
      <c r="E340">
        <v>29.742400065982299</v>
      </c>
      <c r="F340">
        <v>8.6657599934017693</v>
      </c>
    </row>
    <row r="341" spans="1:6" x14ac:dyDescent="0.2">
      <c r="A341">
        <v>736787.60080000001</v>
      </c>
      <c r="B341">
        <v>-149.59651400000001</v>
      </c>
      <c r="C341">
        <v>-17.013480000000001</v>
      </c>
      <c r="D341">
        <v>140.30000000000001</v>
      </c>
      <c r="E341">
        <v>29.742400065982299</v>
      </c>
      <c r="F341">
        <v>8.6657599934017693</v>
      </c>
    </row>
    <row r="342" spans="1:6" x14ac:dyDescent="0.2">
      <c r="A342">
        <v>736787.60089999996</v>
      </c>
      <c r="B342">
        <v>-149.596495</v>
      </c>
      <c r="C342">
        <v>-17.013486</v>
      </c>
      <c r="D342">
        <v>141.06079959444901</v>
      </c>
      <c r="E342">
        <v>29.8</v>
      </c>
      <c r="F342">
        <v>8.7130399797224705</v>
      </c>
    </row>
    <row r="343" spans="1:6" x14ac:dyDescent="0.2">
      <c r="A343">
        <v>736787.60089999996</v>
      </c>
      <c r="B343">
        <v>-149.596486</v>
      </c>
      <c r="C343">
        <v>-17.013490000000001</v>
      </c>
      <c r="D343">
        <v>141.06079959444901</v>
      </c>
      <c r="E343">
        <v>29.8</v>
      </c>
      <c r="F343">
        <v>8.7130399797224705</v>
      </c>
    </row>
    <row r="344" spans="1:6" x14ac:dyDescent="0.2">
      <c r="A344">
        <v>736787.60089999996</v>
      </c>
      <c r="B344">
        <v>-149.59647699999999</v>
      </c>
      <c r="C344">
        <v>-17.013494000000001</v>
      </c>
      <c r="D344">
        <v>141.06079959444901</v>
      </c>
      <c r="E344">
        <v>29.8</v>
      </c>
      <c r="F344">
        <v>8.7130399797224705</v>
      </c>
    </row>
    <row r="345" spans="1:6" x14ac:dyDescent="0.2">
      <c r="A345">
        <v>736787.60089999996</v>
      </c>
      <c r="B345">
        <v>-149.59646100000001</v>
      </c>
      <c r="C345">
        <v>-17.013501999999999</v>
      </c>
      <c r="D345">
        <v>141.06079959444901</v>
      </c>
      <c r="E345">
        <v>29.8</v>
      </c>
      <c r="F345">
        <v>8.7130399797224705</v>
      </c>
    </row>
    <row r="346" spans="1:6" x14ac:dyDescent="0.2">
      <c r="A346">
        <v>736787.60089999996</v>
      </c>
      <c r="B346">
        <v>-149.59645</v>
      </c>
      <c r="C346">
        <v>-17.01351</v>
      </c>
      <c r="D346">
        <v>141.06079959444901</v>
      </c>
      <c r="E346">
        <v>29.8</v>
      </c>
      <c r="F346">
        <v>8.7130399797224705</v>
      </c>
    </row>
    <row r="347" spans="1:6" x14ac:dyDescent="0.2">
      <c r="A347">
        <v>736787.60089999996</v>
      </c>
      <c r="B347">
        <v>-149.59644</v>
      </c>
      <c r="C347">
        <v>-17.013518000000001</v>
      </c>
      <c r="D347">
        <v>141.06079959444901</v>
      </c>
      <c r="E347">
        <v>29.8</v>
      </c>
      <c r="F347">
        <v>8.7130399797224705</v>
      </c>
    </row>
    <row r="348" spans="1:6" x14ac:dyDescent="0.2">
      <c r="A348">
        <v>736787.60089999996</v>
      </c>
      <c r="B348">
        <v>-149.59642500000001</v>
      </c>
      <c r="C348">
        <v>-17.013528000000001</v>
      </c>
      <c r="D348">
        <v>141.06079959444901</v>
      </c>
      <c r="E348">
        <v>29.8</v>
      </c>
      <c r="F348">
        <v>8.7130399797224705</v>
      </c>
    </row>
    <row r="349" spans="1:6" x14ac:dyDescent="0.2">
      <c r="A349">
        <v>736787.60100000002</v>
      </c>
      <c r="B349">
        <v>-149.596418</v>
      </c>
      <c r="C349">
        <v>-17.013535999999998</v>
      </c>
      <c r="D349">
        <v>141.4</v>
      </c>
      <c r="E349">
        <v>29.8</v>
      </c>
      <c r="F349">
        <v>8.73</v>
      </c>
    </row>
    <row r="350" spans="1:6" x14ac:dyDescent="0.2">
      <c r="A350">
        <v>736787.60100000002</v>
      </c>
      <c r="B350">
        <v>-149.59641199999999</v>
      </c>
      <c r="C350">
        <v>-17.013544</v>
      </c>
      <c r="D350">
        <v>141.4</v>
      </c>
      <c r="E350">
        <v>29.8</v>
      </c>
      <c r="F350">
        <v>8.73</v>
      </c>
    </row>
    <row r="351" spans="1:6" x14ac:dyDescent="0.2">
      <c r="A351">
        <v>736787.60100000002</v>
      </c>
      <c r="B351">
        <v>-149.596406</v>
      </c>
      <c r="C351">
        <v>-17.013559999999998</v>
      </c>
      <c r="D351">
        <v>141.4</v>
      </c>
      <c r="E351">
        <v>29.8</v>
      </c>
      <c r="F351">
        <v>8.73</v>
      </c>
    </row>
    <row r="352" spans="1:6" x14ac:dyDescent="0.2">
      <c r="A352">
        <v>736787.60100000002</v>
      </c>
      <c r="B352">
        <v>-149.59639799999999</v>
      </c>
      <c r="C352">
        <v>-17.013572</v>
      </c>
      <c r="D352">
        <v>141.4</v>
      </c>
      <c r="E352">
        <v>29.8</v>
      </c>
      <c r="F352">
        <v>8.73</v>
      </c>
    </row>
    <row r="353" spans="1:6" x14ac:dyDescent="0.2">
      <c r="A353">
        <v>736787.60100000002</v>
      </c>
      <c r="B353">
        <v>-149.596395</v>
      </c>
      <c r="C353">
        <v>-17.013584000000002</v>
      </c>
      <c r="D353">
        <v>141.4</v>
      </c>
      <c r="E353">
        <v>29.8</v>
      </c>
      <c r="F353">
        <v>8.73</v>
      </c>
    </row>
    <row r="354" spans="1:6" x14ac:dyDescent="0.2">
      <c r="A354">
        <v>736787.60100000002</v>
      </c>
      <c r="B354">
        <v>-149.59639300000001</v>
      </c>
      <c r="C354">
        <v>-17.013598000000002</v>
      </c>
      <c r="D354">
        <v>141.4</v>
      </c>
      <c r="E354">
        <v>29.8</v>
      </c>
      <c r="F354">
        <v>8.73</v>
      </c>
    </row>
    <row r="355" spans="1:6" x14ac:dyDescent="0.2">
      <c r="A355">
        <v>736787.60100000002</v>
      </c>
      <c r="B355">
        <v>-149.59639100000001</v>
      </c>
      <c r="C355">
        <v>-17.013608000000001</v>
      </c>
      <c r="D355">
        <v>141.4</v>
      </c>
      <c r="E355">
        <v>29.8</v>
      </c>
      <c r="F355">
        <v>8.73</v>
      </c>
    </row>
    <row r="356" spans="1:6" x14ac:dyDescent="0.2">
      <c r="A356">
        <v>736787.60109999997</v>
      </c>
      <c r="B356">
        <v>-149.596394</v>
      </c>
      <c r="C356">
        <v>-17.01362</v>
      </c>
      <c r="D356">
        <v>142.782399623418</v>
      </c>
      <c r="E356">
        <v>29.8</v>
      </c>
      <c r="F356">
        <v>8.8121599748945396</v>
      </c>
    </row>
    <row r="357" spans="1:6" x14ac:dyDescent="0.2">
      <c r="A357">
        <v>736787.60109999997</v>
      </c>
      <c r="B357">
        <v>-149.596395</v>
      </c>
      <c r="C357">
        <v>-17.013634</v>
      </c>
      <c r="D357">
        <v>142.782399623418</v>
      </c>
      <c r="E357">
        <v>29.8</v>
      </c>
      <c r="F357">
        <v>8.8121599748945396</v>
      </c>
    </row>
    <row r="358" spans="1:6" x14ac:dyDescent="0.2">
      <c r="A358">
        <v>736787.60109999997</v>
      </c>
      <c r="B358">
        <v>-149.59639000000001</v>
      </c>
      <c r="C358">
        <v>-17.013642000000001</v>
      </c>
      <c r="D358">
        <v>142.782399623418</v>
      </c>
      <c r="E358">
        <v>29.8</v>
      </c>
      <c r="F358">
        <v>8.8121599748945396</v>
      </c>
    </row>
    <row r="359" spans="1:6" x14ac:dyDescent="0.2">
      <c r="A359">
        <v>736787.60109999997</v>
      </c>
      <c r="B359">
        <v>-149.59638899999999</v>
      </c>
      <c r="C359">
        <v>-17.013652</v>
      </c>
      <c r="D359">
        <v>142.782399623418</v>
      </c>
      <c r="E359">
        <v>29.8</v>
      </c>
      <c r="F359">
        <v>8.8121599748945396</v>
      </c>
    </row>
    <row r="360" spans="1:6" x14ac:dyDescent="0.2">
      <c r="A360">
        <v>736787.60109999997</v>
      </c>
      <c r="B360">
        <v>-149.59638899999999</v>
      </c>
      <c r="C360">
        <v>-17.013666000000001</v>
      </c>
      <c r="D360">
        <v>142.782399623418</v>
      </c>
      <c r="E360">
        <v>29.8</v>
      </c>
      <c r="F360">
        <v>8.8121599748945396</v>
      </c>
    </row>
    <row r="361" spans="1:6" x14ac:dyDescent="0.2">
      <c r="A361">
        <v>736787.60109999997</v>
      </c>
      <c r="B361">
        <v>-149.59638100000001</v>
      </c>
      <c r="C361">
        <v>-17.013684000000001</v>
      </c>
      <c r="D361">
        <v>142.782399623418</v>
      </c>
      <c r="E361">
        <v>29.8</v>
      </c>
      <c r="F361">
        <v>8.8121599748945396</v>
      </c>
    </row>
    <row r="362" spans="1:6" x14ac:dyDescent="0.2">
      <c r="A362">
        <v>736787.60109999997</v>
      </c>
      <c r="B362">
        <v>-149.59637000000001</v>
      </c>
      <c r="C362">
        <v>-17.013712000000002</v>
      </c>
      <c r="D362">
        <v>142.782399623418</v>
      </c>
      <c r="E362">
        <v>29.8</v>
      </c>
      <c r="F362">
        <v>8.8121599748945396</v>
      </c>
    </row>
    <row r="363" spans="1:6" x14ac:dyDescent="0.2">
      <c r="A363">
        <v>736787.60120000003</v>
      </c>
      <c r="B363">
        <v>-149.59636399999999</v>
      </c>
      <c r="C363">
        <v>-17.013732000000001</v>
      </c>
      <c r="D363">
        <v>142.19999999999999</v>
      </c>
      <c r="E363">
        <v>29.7</v>
      </c>
      <c r="F363">
        <v>8.7799999999999994</v>
      </c>
    </row>
    <row r="364" spans="1:6" x14ac:dyDescent="0.2">
      <c r="A364">
        <v>736787.60120000003</v>
      </c>
      <c r="B364">
        <v>-149.59635800000001</v>
      </c>
      <c r="C364">
        <v>-17.013742000000001</v>
      </c>
      <c r="D364">
        <v>142.19999999999999</v>
      </c>
      <c r="E364">
        <v>29.7</v>
      </c>
      <c r="F364">
        <v>8.7799999999999994</v>
      </c>
    </row>
    <row r="365" spans="1:6" x14ac:dyDescent="0.2">
      <c r="A365">
        <v>736787.60120000003</v>
      </c>
      <c r="B365">
        <v>-149.59635</v>
      </c>
      <c r="C365">
        <v>-17.013750000000002</v>
      </c>
      <c r="D365">
        <v>142.19999999999999</v>
      </c>
      <c r="E365">
        <v>29.7</v>
      </c>
      <c r="F365">
        <v>8.7799999999999994</v>
      </c>
    </row>
    <row r="366" spans="1:6" x14ac:dyDescent="0.2">
      <c r="A366">
        <v>736787.60120000003</v>
      </c>
      <c r="B366">
        <v>-149.59634199999999</v>
      </c>
      <c r="C366">
        <v>-17.013760000000001</v>
      </c>
      <c r="D366">
        <v>142.19999999999999</v>
      </c>
      <c r="E366">
        <v>29.7</v>
      </c>
      <c r="F366">
        <v>8.7799999999999994</v>
      </c>
    </row>
    <row r="367" spans="1:6" x14ac:dyDescent="0.2">
      <c r="A367">
        <v>736787.60120000003</v>
      </c>
      <c r="B367">
        <v>-149.59634</v>
      </c>
      <c r="C367">
        <v>-17.013771999999999</v>
      </c>
      <c r="D367">
        <v>142.19999999999999</v>
      </c>
      <c r="E367">
        <v>29.7</v>
      </c>
      <c r="F367">
        <v>8.7799999999999994</v>
      </c>
    </row>
    <row r="368" spans="1:6" x14ac:dyDescent="0.2">
      <c r="A368">
        <v>736787.60120000003</v>
      </c>
      <c r="B368">
        <v>-149.596339</v>
      </c>
      <c r="C368">
        <v>-17.013781999999999</v>
      </c>
      <c r="D368">
        <v>142.19999999999999</v>
      </c>
      <c r="E368">
        <v>29.7</v>
      </c>
      <c r="F368">
        <v>8.7799999999999994</v>
      </c>
    </row>
    <row r="369" spans="1:6" x14ac:dyDescent="0.2">
      <c r="A369">
        <v>736787.60120000003</v>
      </c>
      <c r="B369">
        <v>-149.59634</v>
      </c>
      <c r="C369">
        <v>-17.013791999999999</v>
      </c>
      <c r="D369">
        <v>142.19999999999999</v>
      </c>
      <c r="E369">
        <v>29.7</v>
      </c>
      <c r="F369">
        <v>8.7799999999999994</v>
      </c>
    </row>
    <row r="370" spans="1:6" x14ac:dyDescent="0.2">
      <c r="A370">
        <v>736787.60129999998</v>
      </c>
      <c r="B370">
        <v>-149.596349</v>
      </c>
      <c r="C370">
        <v>-17.0138</v>
      </c>
      <c r="D370">
        <v>142.140797663256</v>
      </c>
      <c r="E370">
        <v>29.7063998937844</v>
      </c>
      <c r="F370">
        <v>8.7783198619196892</v>
      </c>
    </row>
    <row r="371" spans="1:6" x14ac:dyDescent="0.2">
      <c r="A371">
        <v>736787.60129999998</v>
      </c>
      <c r="B371">
        <v>-149.59635800000001</v>
      </c>
      <c r="C371">
        <v>-17.013805999999999</v>
      </c>
      <c r="D371">
        <v>142.140797663256</v>
      </c>
      <c r="E371">
        <v>29.7063998937844</v>
      </c>
      <c r="F371">
        <v>8.7783198619196892</v>
      </c>
    </row>
    <row r="372" spans="1:6" x14ac:dyDescent="0.2">
      <c r="A372">
        <v>736787.60129999998</v>
      </c>
      <c r="B372">
        <v>-149.59636699999999</v>
      </c>
      <c r="C372">
        <v>-17.013812000000001</v>
      </c>
      <c r="D372">
        <v>142.140797663256</v>
      </c>
      <c r="E372">
        <v>29.7063998937844</v>
      </c>
      <c r="F372">
        <v>8.7783198619196892</v>
      </c>
    </row>
    <row r="373" spans="1:6" x14ac:dyDescent="0.2">
      <c r="A373">
        <v>736787.60129999998</v>
      </c>
      <c r="B373">
        <v>-149.59637799999999</v>
      </c>
      <c r="C373">
        <v>-17.013818000000001</v>
      </c>
      <c r="D373">
        <v>142.140797663256</v>
      </c>
      <c r="E373">
        <v>29.7063998937844</v>
      </c>
      <c r="F373">
        <v>8.7783198619196892</v>
      </c>
    </row>
    <row r="374" spans="1:6" x14ac:dyDescent="0.2">
      <c r="A374">
        <v>736787.60129999998</v>
      </c>
      <c r="B374">
        <v>-149.596385</v>
      </c>
      <c r="C374">
        <v>-17.013826000000002</v>
      </c>
      <c r="D374">
        <v>142.140797663256</v>
      </c>
      <c r="E374">
        <v>29.7063998937844</v>
      </c>
      <c r="F374">
        <v>8.7783198619196892</v>
      </c>
    </row>
    <row r="375" spans="1:6" x14ac:dyDescent="0.2">
      <c r="A375">
        <v>736787.60129999998</v>
      </c>
      <c r="B375">
        <v>-149.59640300000001</v>
      </c>
      <c r="C375">
        <v>-17.013829999999999</v>
      </c>
      <c r="D375">
        <v>142.140797663256</v>
      </c>
      <c r="E375">
        <v>29.7063998937844</v>
      </c>
      <c r="F375">
        <v>8.7783198619196892</v>
      </c>
    </row>
    <row r="376" spans="1:6" x14ac:dyDescent="0.2">
      <c r="A376">
        <v>736787.60140000004</v>
      </c>
      <c r="B376">
        <v>-149.596416</v>
      </c>
      <c r="C376">
        <v>-17.013839999999998</v>
      </c>
      <c r="D376">
        <v>144.27920008529401</v>
      </c>
      <c r="E376">
        <v>29.879200085294201</v>
      </c>
      <c r="F376">
        <v>8.8920799914705793</v>
      </c>
    </row>
    <row r="377" spans="1:6" x14ac:dyDescent="0.2">
      <c r="A377">
        <v>736787.60140000004</v>
      </c>
      <c r="B377">
        <v>-149.596428</v>
      </c>
      <c r="C377">
        <v>-17.013850000000001</v>
      </c>
      <c r="D377">
        <v>144.27920008529401</v>
      </c>
      <c r="E377">
        <v>29.879200085294201</v>
      </c>
      <c r="F377">
        <v>8.8920799914705793</v>
      </c>
    </row>
    <row r="378" spans="1:6" x14ac:dyDescent="0.2">
      <c r="A378">
        <v>736787.60140000004</v>
      </c>
      <c r="B378">
        <v>-149.59643299999999</v>
      </c>
      <c r="C378">
        <v>-17.013857999999999</v>
      </c>
      <c r="D378">
        <v>144.27920008529401</v>
      </c>
      <c r="E378">
        <v>29.879200085294201</v>
      </c>
      <c r="F378">
        <v>8.8920799914705793</v>
      </c>
    </row>
    <row r="379" spans="1:6" x14ac:dyDescent="0.2">
      <c r="A379">
        <v>736787.60140000004</v>
      </c>
      <c r="B379">
        <v>-149.596439</v>
      </c>
      <c r="C379">
        <v>-17.013867000000001</v>
      </c>
      <c r="D379">
        <v>144.27920008529401</v>
      </c>
      <c r="E379">
        <v>29.879200085294201</v>
      </c>
      <c r="F379">
        <v>8.8920799914705793</v>
      </c>
    </row>
    <row r="380" spans="1:6" x14ac:dyDescent="0.2">
      <c r="A380">
        <v>736787.60140000004</v>
      </c>
      <c r="B380">
        <v>-149.59644700000001</v>
      </c>
      <c r="C380">
        <v>-17.013881000000001</v>
      </c>
      <c r="D380">
        <v>144.27920008529401</v>
      </c>
      <c r="E380">
        <v>29.879200085294201</v>
      </c>
      <c r="F380">
        <v>8.8920799914705793</v>
      </c>
    </row>
    <row r="381" spans="1:6" x14ac:dyDescent="0.2">
      <c r="A381">
        <v>736787.60140000004</v>
      </c>
      <c r="B381">
        <v>-149.59644900000001</v>
      </c>
      <c r="C381">
        <v>-17.013892999999999</v>
      </c>
      <c r="D381">
        <v>144.27920008529401</v>
      </c>
      <c r="E381">
        <v>29.879200085294201</v>
      </c>
      <c r="F381">
        <v>8.8920799914705793</v>
      </c>
    </row>
    <row r="382" spans="1:6" x14ac:dyDescent="0.2">
      <c r="A382">
        <v>736787.60140000004</v>
      </c>
      <c r="B382">
        <v>-149.596452</v>
      </c>
      <c r="C382">
        <v>-17.013905999999999</v>
      </c>
      <c r="D382">
        <v>144.27920008529401</v>
      </c>
      <c r="E382">
        <v>29.879200085294201</v>
      </c>
      <c r="F382">
        <v>8.8920799914705793</v>
      </c>
    </row>
    <row r="383" spans="1:6" x14ac:dyDescent="0.2">
      <c r="A383">
        <v>736787.60140000004</v>
      </c>
      <c r="B383">
        <v>-149.596453</v>
      </c>
      <c r="C383">
        <v>-17.013921</v>
      </c>
      <c r="D383">
        <v>144.27920008529401</v>
      </c>
      <c r="E383">
        <v>29.879200085294201</v>
      </c>
      <c r="F383">
        <v>8.8920799914705793</v>
      </c>
    </row>
    <row r="384" spans="1:6" x14ac:dyDescent="0.2">
      <c r="A384">
        <v>736787.60140000004</v>
      </c>
      <c r="B384">
        <v>-149.596452</v>
      </c>
      <c r="C384">
        <v>-17.013936000000001</v>
      </c>
      <c r="D384">
        <v>144.27920008529401</v>
      </c>
      <c r="E384">
        <v>29.879200085294201</v>
      </c>
      <c r="F384">
        <v>8.8920799914705793</v>
      </c>
    </row>
    <row r="385" spans="1:6" x14ac:dyDescent="0.2">
      <c r="A385">
        <v>736787.60149999999</v>
      </c>
      <c r="B385">
        <v>-149.59645399999999</v>
      </c>
      <c r="C385">
        <v>-17.013952</v>
      </c>
      <c r="D385">
        <v>147.63199987125401</v>
      </c>
      <c r="E385">
        <v>29.9</v>
      </c>
      <c r="F385">
        <v>9.0967999927580294</v>
      </c>
    </row>
    <row r="386" spans="1:6" x14ac:dyDescent="0.2">
      <c r="A386">
        <v>736787.60149999999</v>
      </c>
      <c r="B386">
        <v>-149.59645699999999</v>
      </c>
      <c r="C386">
        <v>-17.01397</v>
      </c>
      <c r="D386">
        <v>147.63199987125401</v>
      </c>
      <c r="E386">
        <v>29.9</v>
      </c>
      <c r="F386">
        <v>9.0967999927580294</v>
      </c>
    </row>
    <row r="387" spans="1:6" x14ac:dyDescent="0.2">
      <c r="A387">
        <v>736787.60149999999</v>
      </c>
      <c r="B387">
        <v>-149.59645900000001</v>
      </c>
      <c r="C387">
        <v>-17.013981999999999</v>
      </c>
      <c r="D387">
        <v>147.63199987125401</v>
      </c>
      <c r="E387">
        <v>29.9</v>
      </c>
      <c r="F387">
        <v>9.0967999927580294</v>
      </c>
    </row>
    <row r="388" spans="1:6" x14ac:dyDescent="0.2">
      <c r="A388">
        <v>736787.60149999999</v>
      </c>
      <c r="B388">
        <v>-149.59646799999999</v>
      </c>
      <c r="C388">
        <v>-17.013998000000001</v>
      </c>
      <c r="D388">
        <v>147.63199987125401</v>
      </c>
      <c r="E388">
        <v>29.9</v>
      </c>
      <c r="F388">
        <v>9.0967999927580294</v>
      </c>
    </row>
    <row r="389" spans="1:6" x14ac:dyDescent="0.2">
      <c r="A389">
        <v>736787.60149999999</v>
      </c>
      <c r="B389">
        <v>-149.59647000000001</v>
      </c>
      <c r="C389">
        <v>-17.014006999999999</v>
      </c>
      <c r="D389">
        <v>147.63199987125401</v>
      </c>
      <c r="E389">
        <v>29.9</v>
      </c>
      <c r="F389">
        <v>9.0967999927580294</v>
      </c>
    </row>
    <row r="390" spans="1:6" x14ac:dyDescent="0.2">
      <c r="A390">
        <v>736787.60149999999</v>
      </c>
      <c r="B390">
        <v>-149.596476</v>
      </c>
      <c r="C390">
        <v>-17.014014</v>
      </c>
      <c r="D390">
        <v>147.63199987125401</v>
      </c>
      <c r="E390">
        <v>29.9</v>
      </c>
      <c r="F390">
        <v>9.0967999927580294</v>
      </c>
    </row>
    <row r="391" spans="1:6" x14ac:dyDescent="0.2">
      <c r="A391">
        <v>736787.60149999999</v>
      </c>
      <c r="B391">
        <v>-149.596486</v>
      </c>
      <c r="C391">
        <v>-17.014019000000001</v>
      </c>
      <c r="D391">
        <v>147.63199987125401</v>
      </c>
      <c r="E391">
        <v>29.9</v>
      </c>
      <c r="F391">
        <v>9.0967999927580294</v>
      </c>
    </row>
    <row r="392" spans="1:6" x14ac:dyDescent="0.2">
      <c r="A392">
        <v>736787.60160000005</v>
      </c>
      <c r="B392">
        <v>-149.596495</v>
      </c>
      <c r="C392">
        <v>-17.014026999999999</v>
      </c>
      <c r="D392">
        <v>148.375199908269</v>
      </c>
      <c r="E392">
        <v>29.9</v>
      </c>
      <c r="F392">
        <v>9.1475199908268507</v>
      </c>
    </row>
    <row r="393" spans="1:6" x14ac:dyDescent="0.2">
      <c r="A393">
        <v>736787.60160000005</v>
      </c>
      <c r="B393">
        <v>-149.59649999999999</v>
      </c>
      <c r="C393">
        <v>-17.014040000000001</v>
      </c>
      <c r="D393">
        <v>148.375199908269</v>
      </c>
      <c r="E393">
        <v>29.9</v>
      </c>
      <c r="F393">
        <v>9.1475199908268507</v>
      </c>
    </row>
    <row r="394" spans="1:6" x14ac:dyDescent="0.2">
      <c r="A394">
        <v>736787.60160000005</v>
      </c>
      <c r="B394">
        <v>-149.59650300000001</v>
      </c>
      <c r="C394">
        <v>-17.014050999999998</v>
      </c>
      <c r="D394">
        <v>148.375199908269</v>
      </c>
      <c r="E394">
        <v>29.9</v>
      </c>
      <c r="F394">
        <v>9.1475199908268507</v>
      </c>
    </row>
    <row r="395" spans="1:6" x14ac:dyDescent="0.2">
      <c r="A395">
        <v>736787.60160000005</v>
      </c>
      <c r="B395">
        <v>-149.596508</v>
      </c>
      <c r="C395">
        <v>-17.014061000000002</v>
      </c>
      <c r="D395">
        <v>148.375199908269</v>
      </c>
      <c r="E395">
        <v>29.9</v>
      </c>
      <c r="F395">
        <v>9.1475199908268507</v>
      </c>
    </row>
    <row r="396" spans="1:6" x14ac:dyDescent="0.2">
      <c r="A396">
        <v>736787.60160000005</v>
      </c>
      <c r="B396">
        <v>-149.596508</v>
      </c>
      <c r="C396">
        <v>-17.014071999999999</v>
      </c>
      <c r="D396">
        <v>148.375199908269</v>
      </c>
      <c r="E396">
        <v>29.9</v>
      </c>
      <c r="F396">
        <v>9.1475199908268507</v>
      </c>
    </row>
    <row r="397" spans="1:6" x14ac:dyDescent="0.2">
      <c r="A397">
        <v>736787.60160000005</v>
      </c>
      <c r="B397">
        <v>-149.596509</v>
      </c>
      <c r="C397">
        <v>-17.014084</v>
      </c>
      <c r="D397">
        <v>148.375199908269</v>
      </c>
      <c r="E397">
        <v>29.9</v>
      </c>
      <c r="F397">
        <v>9.1475199908268507</v>
      </c>
    </row>
    <row r="398" spans="1:6" x14ac:dyDescent="0.2">
      <c r="A398">
        <v>736787.60160000005</v>
      </c>
      <c r="B398">
        <v>-149.59651400000001</v>
      </c>
      <c r="C398">
        <v>-17.014099000000002</v>
      </c>
      <c r="D398">
        <v>148.375199908269</v>
      </c>
      <c r="E398">
        <v>29.9</v>
      </c>
      <c r="F398">
        <v>9.1475199908268507</v>
      </c>
    </row>
    <row r="399" spans="1:6" x14ac:dyDescent="0.2">
      <c r="A399">
        <v>736787.60160000005</v>
      </c>
      <c r="B399">
        <v>-149.596518</v>
      </c>
      <c r="C399">
        <v>-17.014115</v>
      </c>
      <c r="D399">
        <v>148.375199908269</v>
      </c>
      <c r="E399">
        <v>29.9</v>
      </c>
      <c r="F399">
        <v>9.1475199908268507</v>
      </c>
    </row>
    <row r="400" spans="1:6" x14ac:dyDescent="0.2">
      <c r="A400">
        <v>736787.60160000005</v>
      </c>
      <c r="B400">
        <v>-149.59652</v>
      </c>
      <c r="C400">
        <v>-17.014126999999998</v>
      </c>
      <c r="D400">
        <v>148.375199908269</v>
      </c>
      <c r="E400">
        <v>29.9</v>
      </c>
      <c r="F400">
        <v>9.1475199908268507</v>
      </c>
    </row>
    <row r="401" spans="1:6" x14ac:dyDescent="0.2">
      <c r="A401">
        <v>736787.6017</v>
      </c>
      <c r="B401">
        <v>-149.59652399999999</v>
      </c>
      <c r="C401">
        <v>-17.014137000000002</v>
      </c>
      <c r="D401">
        <v>144.59119657535101</v>
      </c>
      <c r="E401">
        <v>29.704799819755301</v>
      </c>
      <c r="F401">
        <v>8.9252798017308308</v>
      </c>
    </row>
    <row r="402" spans="1:6" x14ac:dyDescent="0.2">
      <c r="A402">
        <v>736787.6017</v>
      </c>
      <c r="B402">
        <v>-149.59652800000001</v>
      </c>
      <c r="C402">
        <v>-17.014151999999999</v>
      </c>
      <c r="D402">
        <v>144.59119657535101</v>
      </c>
      <c r="E402">
        <v>29.704799819755301</v>
      </c>
      <c r="F402">
        <v>8.9252798017308308</v>
      </c>
    </row>
    <row r="403" spans="1:6" x14ac:dyDescent="0.2">
      <c r="A403">
        <v>736787.6017</v>
      </c>
      <c r="B403">
        <v>-149.59653800000001</v>
      </c>
      <c r="C403">
        <v>-17.014161999999999</v>
      </c>
      <c r="D403">
        <v>144.59119657535101</v>
      </c>
      <c r="E403">
        <v>29.704799819755301</v>
      </c>
      <c r="F403">
        <v>8.9252798017308308</v>
      </c>
    </row>
    <row r="404" spans="1:6" x14ac:dyDescent="0.2">
      <c r="A404">
        <v>736787.6017</v>
      </c>
      <c r="B404">
        <v>-149.59654599999999</v>
      </c>
      <c r="C404">
        <v>-17.014168999999999</v>
      </c>
      <c r="D404">
        <v>144.59119657535101</v>
      </c>
      <c r="E404">
        <v>29.704799819755301</v>
      </c>
      <c r="F404">
        <v>8.9252798017308308</v>
      </c>
    </row>
    <row r="405" spans="1:6" x14ac:dyDescent="0.2">
      <c r="A405">
        <v>736787.6017</v>
      </c>
      <c r="B405">
        <v>-149.59655599999999</v>
      </c>
      <c r="C405">
        <v>-17.014173</v>
      </c>
      <c r="D405">
        <v>144.59119657535101</v>
      </c>
      <c r="E405">
        <v>29.704799819755301</v>
      </c>
      <c r="F405">
        <v>8.9252798017308308</v>
      </c>
    </row>
    <row r="406" spans="1:6" x14ac:dyDescent="0.2">
      <c r="A406">
        <v>736787.6017</v>
      </c>
      <c r="B406">
        <v>-149.59656799999999</v>
      </c>
      <c r="C406">
        <v>-17.014178000000001</v>
      </c>
      <c r="D406">
        <v>144.59119657535101</v>
      </c>
      <c r="E406">
        <v>29.704799819755301</v>
      </c>
      <c r="F406">
        <v>8.9252798017308308</v>
      </c>
    </row>
    <row r="407" spans="1:6" x14ac:dyDescent="0.2">
      <c r="A407">
        <v>736787.6017</v>
      </c>
      <c r="B407">
        <v>-149.59658099999999</v>
      </c>
      <c r="C407">
        <v>-17.014184</v>
      </c>
      <c r="D407">
        <v>144.59119657535101</v>
      </c>
      <c r="E407">
        <v>29.704799819755301</v>
      </c>
      <c r="F407">
        <v>8.9252798017308308</v>
      </c>
    </row>
    <row r="408" spans="1:6" x14ac:dyDescent="0.2">
      <c r="A408">
        <v>736787.6017</v>
      </c>
      <c r="B408">
        <v>-149.59659400000001</v>
      </c>
      <c r="C408">
        <v>-17.014191</v>
      </c>
      <c r="D408">
        <v>144.59119657535101</v>
      </c>
      <c r="E408">
        <v>29.704799819755301</v>
      </c>
      <c r="F408">
        <v>8.9252798017308308</v>
      </c>
    </row>
    <row r="409" spans="1:6" x14ac:dyDescent="0.2">
      <c r="A409">
        <v>736787.60179999995</v>
      </c>
      <c r="B409">
        <v>-149.59661</v>
      </c>
      <c r="C409">
        <v>-17.014202999999998</v>
      </c>
      <c r="D409">
        <v>141.82480391387699</v>
      </c>
      <c r="E409">
        <v>29.7</v>
      </c>
      <c r="F409">
        <v>8.7710402471922304</v>
      </c>
    </row>
    <row r="410" spans="1:6" x14ac:dyDescent="0.2">
      <c r="A410">
        <v>736787.60179999995</v>
      </c>
      <c r="B410">
        <v>-149.596619</v>
      </c>
      <c r="C410">
        <v>-17.014213000000002</v>
      </c>
      <c r="D410">
        <v>141.82480391387699</v>
      </c>
      <c r="E410">
        <v>29.7</v>
      </c>
      <c r="F410">
        <v>8.7710402471922304</v>
      </c>
    </row>
    <row r="411" spans="1:6" x14ac:dyDescent="0.2">
      <c r="A411">
        <v>736787.60179999995</v>
      </c>
      <c r="B411">
        <v>-149.59662900000001</v>
      </c>
      <c r="C411">
        <v>-17.014223000000001</v>
      </c>
      <c r="D411">
        <v>141.82480391387699</v>
      </c>
      <c r="E411">
        <v>29.7</v>
      </c>
      <c r="F411">
        <v>8.7710402471922304</v>
      </c>
    </row>
    <row r="412" spans="1:6" x14ac:dyDescent="0.2">
      <c r="A412">
        <v>736787.60179999995</v>
      </c>
      <c r="B412">
        <v>-149.59664100000001</v>
      </c>
      <c r="C412">
        <v>-17.014232</v>
      </c>
      <c r="D412">
        <v>141.82480391387699</v>
      </c>
      <c r="E412">
        <v>29.7</v>
      </c>
      <c r="F412">
        <v>8.7710402471922304</v>
      </c>
    </row>
    <row r="413" spans="1:6" x14ac:dyDescent="0.2">
      <c r="A413">
        <v>736787.60179999995</v>
      </c>
      <c r="B413">
        <v>-149.59664900000001</v>
      </c>
      <c r="C413">
        <v>-17.014240999999998</v>
      </c>
      <c r="D413">
        <v>141.82480391387699</v>
      </c>
      <c r="E413">
        <v>29.7</v>
      </c>
      <c r="F413">
        <v>8.7710402471922304</v>
      </c>
    </row>
    <row r="414" spans="1:6" x14ac:dyDescent="0.2">
      <c r="A414">
        <v>736787.60179999995</v>
      </c>
      <c r="B414">
        <v>-149.59667099999999</v>
      </c>
      <c r="C414">
        <v>-17.014251000000002</v>
      </c>
      <c r="D414">
        <v>141.82480391387699</v>
      </c>
      <c r="E414">
        <v>29.7</v>
      </c>
      <c r="F414">
        <v>8.7710402471922304</v>
      </c>
    </row>
    <row r="415" spans="1:6" x14ac:dyDescent="0.2">
      <c r="A415">
        <v>736787.60190000001</v>
      </c>
      <c r="B415">
        <v>-149.59668300000001</v>
      </c>
      <c r="C415">
        <v>-17.014258000000002</v>
      </c>
      <c r="D415">
        <v>138.01120011587199</v>
      </c>
      <c r="E415">
        <v>29.7</v>
      </c>
      <c r="F415">
        <v>8.5340800077247696</v>
      </c>
    </row>
    <row r="416" spans="1:6" x14ac:dyDescent="0.2">
      <c r="A416">
        <v>736787.60190000001</v>
      </c>
      <c r="B416">
        <v>-149.59669199999999</v>
      </c>
      <c r="C416">
        <v>-17.014264000000001</v>
      </c>
      <c r="D416">
        <v>138.01120011587199</v>
      </c>
      <c r="E416">
        <v>29.7</v>
      </c>
      <c r="F416">
        <v>8.5340800077247696</v>
      </c>
    </row>
    <row r="417" spans="1:6" x14ac:dyDescent="0.2">
      <c r="A417">
        <v>736787.60190000001</v>
      </c>
      <c r="B417">
        <v>-149.596701</v>
      </c>
      <c r="C417">
        <v>-17.014272999999999</v>
      </c>
      <c r="D417">
        <v>138.01120011587199</v>
      </c>
      <c r="E417">
        <v>29.7</v>
      </c>
      <c r="F417">
        <v>8.5340800077247696</v>
      </c>
    </row>
    <row r="418" spans="1:6" x14ac:dyDescent="0.2">
      <c r="A418">
        <v>736787.60190000001</v>
      </c>
      <c r="B418">
        <v>-149.59670700000001</v>
      </c>
      <c r="C418">
        <v>-17.014282999999999</v>
      </c>
      <c r="D418">
        <v>138.01120011587199</v>
      </c>
      <c r="E418">
        <v>29.7</v>
      </c>
      <c r="F418">
        <v>8.5340800077247696</v>
      </c>
    </row>
    <row r="419" spans="1:6" x14ac:dyDescent="0.2">
      <c r="A419">
        <v>736787.60190000001</v>
      </c>
      <c r="B419">
        <v>-149.596712</v>
      </c>
      <c r="C419">
        <v>-17.014298</v>
      </c>
      <c r="D419">
        <v>138.01120011587199</v>
      </c>
      <c r="E419">
        <v>29.7</v>
      </c>
      <c r="F419">
        <v>8.5340800077247696</v>
      </c>
    </row>
    <row r="420" spans="1:6" x14ac:dyDescent="0.2">
      <c r="A420">
        <v>736787.60190000001</v>
      </c>
      <c r="B420">
        <v>-149.59671700000001</v>
      </c>
      <c r="C420">
        <v>-17.014308</v>
      </c>
      <c r="D420">
        <v>138.01120011587199</v>
      </c>
      <c r="E420">
        <v>29.7</v>
      </c>
      <c r="F420">
        <v>8.5340800077247696</v>
      </c>
    </row>
    <row r="421" spans="1:6" x14ac:dyDescent="0.2">
      <c r="A421">
        <v>736787.60190000001</v>
      </c>
      <c r="B421">
        <v>-149.59672399999999</v>
      </c>
      <c r="C421">
        <v>-17.014316000000001</v>
      </c>
      <c r="D421">
        <v>138.01120011587199</v>
      </c>
      <c r="E421">
        <v>29.7</v>
      </c>
      <c r="F421">
        <v>8.5340800077247696</v>
      </c>
    </row>
    <row r="422" spans="1:6" x14ac:dyDescent="0.2">
      <c r="A422">
        <v>736787.60199999996</v>
      </c>
      <c r="B422">
        <v>-149.596723</v>
      </c>
      <c r="C422">
        <v>-17.014327000000002</v>
      </c>
      <c r="D422">
        <v>137.57999951720299</v>
      </c>
      <c r="E422">
        <v>29.7</v>
      </c>
      <c r="F422">
        <v>8.5047999710321598</v>
      </c>
    </row>
    <row r="423" spans="1:6" x14ac:dyDescent="0.2">
      <c r="A423">
        <v>736787.60199999996</v>
      </c>
      <c r="B423">
        <v>-149.59673100000001</v>
      </c>
      <c r="C423">
        <v>-17.014341999999999</v>
      </c>
      <c r="D423">
        <v>137.57999951720299</v>
      </c>
      <c r="E423">
        <v>29.7</v>
      </c>
      <c r="F423">
        <v>8.5047999710321598</v>
      </c>
    </row>
    <row r="424" spans="1:6" x14ac:dyDescent="0.2">
      <c r="A424">
        <v>736787.60199999996</v>
      </c>
      <c r="B424">
        <v>-149.59674200000001</v>
      </c>
      <c r="C424">
        <v>-17.014354000000001</v>
      </c>
      <c r="D424">
        <v>137.57999951720299</v>
      </c>
      <c r="E424">
        <v>29.7</v>
      </c>
      <c r="F424">
        <v>8.5047999710321598</v>
      </c>
    </row>
    <row r="425" spans="1:6" x14ac:dyDescent="0.2">
      <c r="A425">
        <v>736787.60199999996</v>
      </c>
      <c r="B425">
        <v>-149.596743</v>
      </c>
      <c r="C425">
        <v>-17.014364</v>
      </c>
      <c r="D425">
        <v>137.57999951720299</v>
      </c>
      <c r="E425">
        <v>29.7</v>
      </c>
      <c r="F425">
        <v>8.5047999710321598</v>
      </c>
    </row>
    <row r="426" spans="1:6" x14ac:dyDescent="0.2">
      <c r="A426">
        <v>736787.60199999996</v>
      </c>
      <c r="B426">
        <v>-149.59674100000001</v>
      </c>
      <c r="C426">
        <v>-17.014375000000001</v>
      </c>
      <c r="D426">
        <v>137.57999951720299</v>
      </c>
      <c r="E426">
        <v>29.7</v>
      </c>
      <c r="F426">
        <v>8.5047999710321598</v>
      </c>
    </row>
    <row r="427" spans="1:6" x14ac:dyDescent="0.2">
      <c r="A427">
        <v>736787.60199999996</v>
      </c>
      <c r="B427">
        <v>-149.596745</v>
      </c>
      <c r="C427">
        <v>-17.014386999999999</v>
      </c>
      <c r="D427">
        <v>137.57999951720299</v>
      </c>
      <c r="E427">
        <v>29.7</v>
      </c>
      <c r="F427">
        <v>8.5047999710321598</v>
      </c>
    </row>
    <row r="428" spans="1:6" x14ac:dyDescent="0.2">
      <c r="A428">
        <v>736787.60199999996</v>
      </c>
      <c r="B428">
        <v>-149.59675300000001</v>
      </c>
      <c r="C428">
        <v>-17.014395</v>
      </c>
      <c r="D428">
        <v>137.57999951720299</v>
      </c>
      <c r="E428">
        <v>29.7</v>
      </c>
      <c r="F428">
        <v>8.5047999710321598</v>
      </c>
    </row>
    <row r="429" spans="1:6" x14ac:dyDescent="0.2">
      <c r="A429">
        <v>736787.60210000002</v>
      </c>
      <c r="B429">
        <v>-149.59675200000001</v>
      </c>
      <c r="C429">
        <v>-17.014413000000001</v>
      </c>
      <c r="D429">
        <v>140.75280264412501</v>
      </c>
      <c r="E429">
        <v>29.788800085294401</v>
      </c>
      <c r="F429">
        <v>8.6898401535298593</v>
      </c>
    </row>
    <row r="430" spans="1:6" x14ac:dyDescent="0.2">
      <c r="A430">
        <v>736787.60210000002</v>
      </c>
      <c r="B430">
        <v>-149.59675300000001</v>
      </c>
      <c r="C430">
        <v>-17.014422</v>
      </c>
      <c r="D430">
        <v>140.75280264412501</v>
      </c>
      <c r="E430">
        <v>29.788800085294401</v>
      </c>
      <c r="F430">
        <v>8.6898401535298593</v>
      </c>
    </row>
    <row r="431" spans="1:6" x14ac:dyDescent="0.2">
      <c r="A431">
        <v>736787.60210000002</v>
      </c>
      <c r="B431">
        <v>-149.596755</v>
      </c>
      <c r="C431">
        <v>-17.014444999999998</v>
      </c>
      <c r="D431">
        <v>140.75280264412501</v>
      </c>
      <c r="E431">
        <v>29.788800085294401</v>
      </c>
      <c r="F431">
        <v>8.6898401535298593</v>
      </c>
    </row>
    <row r="432" spans="1:6" x14ac:dyDescent="0.2">
      <c r="A432">
        <v>736787.60210000002</v>
      </c>
      <c r="B432">
        <v>-149.596754</v>
      </c>
      <c r="C432">
        <v>-17.014458000000001</v>
      </c>
      <c r="D432">
        <v>140.75280264412501</v>
      </c>
      <c r="E432">
        <v>29.788800085294401</v>
      </c>
      <c r="F432">
        <v>8.6898401535298593</v>
      </c>
    </row>
    <row r="433" spans="1:6" x14ac:dyDescent="0.2">
      <c r="A433">
        <v>736787.60210000002</v>
      </c>
      <c r="B433">
        <v>-149.59675200000001</v>
      </c>
      <c r="C433">
        <v>-17.014469999999999</v>
      </c>
      <c r="D433">
        <v>140.75280264412501</v>
      </c>
      <c r="E433">
        <v>29.788800085294401</v>
      </c>
      <c r="F433">
        <v>8.6898401535298593</v>
      </c>
    </row>
    <row r="434" spans="1:6" x14ac:dyDescent="0.2">
      <c r="A434">
        <v>736787.60210000002</v>
      </c>
      <c r="B434">
        <v>-149.59674799999999</v>
      </c>
      <c r="C434">
        <v>-17.014485000000001</v>
      </c>
      <c r="D434">
        <v>140.75280264412501</v>
      </c>
      <c r="E434">
        <v>29.788800085294401</v>
      </c>
      <c r="F434">
        <v>8.6898401535298593</v>
      </c>
    </row>
    <row r="435" spans="1:6" x14ac:dyDescent="0.2">
      <c r="A435">
        <v>736787.60219999996</v>
      </c>
      <c r="B435">
        <v>-149.596743</v>
      </c>
      <c r="C435">
        <v>-17.014499000000001</v>
      </c>
      <c r="D435">
        <v>142.763197566701</v>
      </c>
      <c r="E435">
        <v>29.9</v>
      </c>
      <c r="F435">
        <v>8.7985598558045304</v>
      </c>
    </row>
    <row r="436" spans="1:6" x14ac:dyDescent="0.2">
      <c r="A436">
        <v>736787.60219999996</v>
      </c>
      <c r="B436">
        <v>-149.59673900000001</v>
      </c>
      <c r="C436">
        <v>-17.014514999999999</v>
      </c>
      <c r="D436">
        <v>142.763197566701</v>
      </c>
      <c r="E436">
        <v>29.9</v>
      </c>
      <c r="F436">
        <v>8.7985598558045304</v>
      </c>
    </row>
    <row r="437" spans="1:6" x14ac:dyDescent="0.2">
      <c r="A437">
        <v>736787.60219999996</v>
      </c>
      <c r="B437">
        <v>-149.596734</v>
      </c>
      <c r="C437">
        <v>-17.014524999999999</v>
      </c>
      <c r="D437">
        <v>142.763197566701</v>
      </c>
      <c r="E437">
        <v>29.9</v>
      </c>
      <c r="F437">
        <v>8.7985598558045304</v>
      </c>
    </row>
    <row r="438" spans="1:6" x14ac:dyDescent="0.2">
      <c r="A438">
        <v>736787.60219999996</v>
      </c>
      <c r="B438">
        <v>-149.59672800000001</v>
      </c>
      <c r="C438">
        <v>-17.014543</v>
      </c>
      <c r="D438">
        <v>142.763197566701</v>
      </c>
      <c r="E438">
        <v>29.9</v>
      </c>
      <c r="F438">
        <v>8.7985598558045304</v>
      </c>
    </row>
    <row r="439" spans="1:6" x14ac:dyDescent="0.2">
      <c r="A439">
        <v>736787.60219999996</v>
      </c>
      <c r="B439">
        <v>-149.59672499999999</v>
      </c>
      <c r="C439">
        <v>-17.014558000000001</v>
      </c>
      <c r="D439">
        <v>142.763197566701</v>
      </c>
      <c r="E439">
        <v>29.9</v>
      </c>
      <c r="F439">
        <v>8.7985598558045304</v>
      </c>
    </row>
    <row r="440" spans="1:6" x14ac:dyDescent="0.2">
      <c r="A440">
        <v>736787.60219999996</v>
      </c>
      <c r="B440">
        <v>-149.596721</v>
      </c>
      <c r="C440">
        <v>-17.014572999999999</v>
      </c>
      <c r="D440">
        <v>142.763197566701</v>
      </c>
      <c r="E440">
        <v>29.9</v>
      </c>
      <c r="F440">
        <v>8.7985598558045304</v>
      </c>
    </row>
    <row r="441" spans="1:6" x14ac:dyDescent="0.2">
      <c r="A441">
        <v>736787.60219999996</v>
      </c>
      <c r="B441">
        <v>-149.59671800000001</v>
      </c>
      <c r="C441">
        <v>-17.014582999999998</v>
      </c>
      <c r="D441">
        <v>142.763197566701</v>
      </c>
      <c r="E441">
        <v>29.9</v>
      </c>
      <c r="F441">
        <v>8.7985598558045304</v>
      </c>
    </row>
    <row r="442" spans="1:6" x14ac:dyDescent="0.2">
      <c r="A442">
        <v>736787.60230000003</v>
      </c>
      <c r="B442">
        <v>-149.59671599999999</v>
      </c>
      <c r="C442">
        <v>-17.014593000000001</v>
      </c>
      <c r="D442">
        <v>145.80000000000001</v>
      </c>
      <c r="E442">
        <v>29.9</v>
      </c>
      <c r="F442">
        <v>8.9834400114262003</v>
      </c>
    </row>
    <row r="443" spans="1:6" x14ac:dyDescent="0.2">
      <c r="A443">
        <v>736787.60230000003</v>
      </c>
      <c r="B443">
        <v>-149.59671700000001</v>
      </c>
      <c r="C443">
        <v>-17.014603999999999</v>
      </c>
      <c r="D443">
        <v>145.80000000000001</v>
      </c>
      <c r="E443">
        <v>29.9</v>
      </c>
      <c r="F443">
        <v>8.9834400114262003</v>
      </c>
    </row>
    <row r="444" spans="1:6" x14ac:dyDescent="0.2">
      <c r="A444">
        <v>736787.60230000003</v>
      </c>
      <c r="B444">
        <v>-149.59671900000001</v>
      </c>
      <c r="C444">
        <v>-17.014617999999999</v>
      </c>
      <c r="D444">
        <v>145.80000000000001</v>
      </c>
      <c r="E444">
        <v>29.9</v>
      </c>
      <c r="F444">
        <v>8.9834400114262003</v>
      </c>
    </row>
    <row r="445" spans="1:6" x14ac:dyDescent="0.2">
      <c r="A445">
        <v>736787.60230000003</v>
      </c>
      <c r="B445">
        <v>-149.59671599999999</v>
      </c>
      <c r="C445">
        <v>-17.01463</v>
      </c>
      <c r="D445">
        <v>145.80000000000001</v>
      </c>
      <c r="E445">
        <v>29.9</v>
      </c>
      <c r="F445">
        <v>8.9834400114262003</v>
      </c>
    </row>
    <row r="446" spans="1:6" x14ac:dyDescent="0.2">
      <c r="A446">
        <v>736787.60230000003</v>
      </c>
      <c r="B446">
        <v>-149.59671800000001</v>
      </c>
      <c r="C446">
        <v>-17.01464</v>
      </c>
      <c r="D446">
        <v>145.80000000000001</v>
      </c>
      <c r="E446">
        <v>29.9</v>
      </c>
      <c r="F446">
        <v>8.9834400114262003</v>
      </c>
    </row>
    <row r="447" spans="1:6" x14ac:dyDescent="0.2">
      <c r="A447">
        <v>736787.60230000003</v>
      </c>
      <c r="B447">
        <v>-149.59672</v>
      </c>
      <c r="C447">
        <v>-17.014654</v>
      </c>
      <c r="D447">
        <v>145.80000000000001</v>
      </c>
      <c r="E447">
        <v>29.9</v>
      </c>
      <c r="F447">
        <v>8.9834400114262003</v>
      </c>
    </row>
    <row r="448" spans="1:6" x14ac:dyDescent="0.2">
      <c r="A448">
        <v>736787.60230000003</v>
      </c>
      <c r="B448">
        <v>-149.59671800000001</v>
      </c>
      <c r="C448">
        <v>-17.014669000000001</v>
      </c>
      <c r="D448">
        <v>145.80000000000001</v>
      </c>
      <c r="E448">
        <v>29.9</v>
      </c>
      <c r="F448">
        <v>8.9834400114262003</v>
      </c>
    </row>
    <row r="449" spans="1:6" x14ac:dyDescent="0.2">
      <c r="A449">
        <v>736787.60230000003</v>
      </c>
      <c r="B449">
        <v>-149.59671700000001</v>
      </c>
      <c r="C449">
        <v>-17.014683999999999</v>
      </c>
      <c r="D449">
        <v>145.80000000000001</v>
      </c>
      <c r="E449">
        <v>29.9</v>
      </c>
      <c r="F449">
        <v>8.9834400114262003</v>
      </c>
    </row>
    <row r="450" spans="1:6" x14ac:dyDescent="0.2">
      <c r="A450">
        <v>736787.60230000003</v>
      </c>
      <c r="B450">
        <v>-149.59671800000001</v>
      </c>
      <c r="C450">
        <v>-17.014699</v>
      </c>
      <c r="D450">
        <v>145.80000000000001</v>
      </c>
      <c r="E450">
        <v>29.9</v>
      </c>
      <c r="F450">
        <v>8.9834400114262003</v>
      </c>
    </row>
    <row r="451" spans="1:6" x14ac:dyDescent="0.2">
      <c r="A451">
        <v>736787.60239999997</v>
      </c>
      <c r="B451">
        <v>-149.59671399999999</v>
      </c>
      <c r="C451">
        <v>-17.014713</v>
      </c>
      <c r="D451">
        <v>146.36479924683599</v>
      </c>
      <c r="E451">
        <v>29.9</v>
      </c>
      <c r="F451">
        <v>9.0235999581575594</v>
      </c>
    </row>
    <row r="452" spans="1:6" x14ac:dyDescent="0.2">
      <c r="A452">
        <v>736787.60239999997</v>
      </c>
      <c r="B452">
        <v>-149.59671299999999</v>
      </c>
      <c r="C452">
        <v>-17.014724999999999</v>
      </c>
      <c r="D452">
        <v>146.36479924683599</v>
      </c>
      <c r="E452">
        <v>29.9</v>
      </c>
      <c r="F452">
        <v>9.0235999581575594</v>
      </c>
    </row>
    <row r="453" spans="1:6" x14ac:dyDescent="0.2">
      <c r="A453">
        <v>736787.60239999997</v>
      </c>
      <c r="B453">
        <v>-149.59670600000001</v>
      </c>
      <c r="C453">
        <v>-17.014738999999999</v>
      </c>
      <c r="D453">
        <v>146.36479924683599</v>
      </c>
      <c r="E453">
        <v>29.9</v>
      </c>
      <c r="F453">
        <v>9.0235999581575594</v>
      </c>
    </row>
    <row r="454" spans="1:6" x14ac:dyDescent="0.2">
      <c r="A454">
        <v>736787.60239999997</v>
      </c>
      <c r="B454">
        <v>-149.596699</v>
      </c>
      <c r="C454">
        <v>-17.014752999999999</v>
      </c>
      <c r="D454">
        <v>146.36479924683599</v>
      </c>
      <c r="E454">
        <v>29.9</v>
      </c>
      <c r="F454">
        <v>9.0235999581575594</v>
      </c>
    </row>
    <row r="455" spans="1:6" x14ac:dyDescent="0.2">
      <c r="A455">
        <v>736787.60239999997</v>
      </c>
      <c r="B455">
        <v>-149.59669700000001</v>
      </c>
      <c r="C455">
        <v>-17.014762999999999</v>
      </c>
      <c r="D455">
        <v>146.36479924683599</v>
      </c>
      <c r="E455">
        <v>29.9</v>
      </c>
      <c r="F455">
        <v>9.0235999581575594</v>
      </c>
    </row>
    <row r="456" spans="1:6" x14ac:dyDescent="0.2">
      <c r="A456">
        <v>736787.60239999997</v>
      </c>
      <c r="B456">
        <v>-149.596699</v>
      </c>
      <c r="C456">
        <v>-17.014773000000002</v>
      </c>
      <c r="D456">
        <v>146.36479924683599</v>
      </c>
      <c r="E456">
        <v>29.9</v>
      </c>
      <c r="F456">
        <v>9.0235999581575594</v>
      </c>
    </row>
    <row r="457" spans="1:6" x14ac:dyDescent="0.2">
      <c r="A457">
        <v>736787.60250000004</v>
      </c>
      <c r="B457">
        <v>-149.59670199999999</v>
      </c>
      <c r="C457">
        <v>-17.014786999999998</v>
      </c>
      <c r="D457">
        <v>147.28000008046601</v>
      </c>
      <c r="E457">
        <v>29.9</v>
      </c>
      <c r="F457">
        <v>9.07</v>
      </c>
    </row>
    <row r="458" spans="1:6" x14ac:dyDescent="0.2">
      <c r="A458">
        <v>736787.60250000004</v>
      </c>
      <c r="B458">
        <v>-149.596711</v>
      </c>
      <c r="C458">
        <v>-17.014794999999999</v>
      </c>
      <c r="D458">
        <v>147.28000008046601</v>
      </c>
      <c r="E458">
        <v>29.9</v>
      </c>
      <c r="F458">
        <v>9.07</v>
      </c>
    </row>
    <row r="459" spans="1:6" x14ac:dyDescent="0.2">
      <c r="A459">
        <v>736787.60250000004</v>
      </c>
      <c r="B459">
        <v>-149.59672</v>
      </c>
      <c r="C459">
        <v>-17.014807999999999</v>
      </c>
      <c r="D459">
        <v>147.28000008046601</v>
      </c>
      <c r="E459">
        <v>29.9</v>
      </c>
      <c r="F459">
        <v>9.07</v>
      </c>
    </row>
    <row r="460" spans="1:6" x14ac:dyDescent="0.2">
      <c r="A460">
        <v>736787.60250000004</v>
      </c>
      <c r="B460">
        <v>-149.59672699999999</v>
      </c>
      <c r="C460">
        <v>-17.014818000000002</v>
      </c>
      <c r="D460">
        <v>147.28000008046601</v>
      </c>
      <c r="E460">
        <v>29.9</v>
      </c>
      <c r="F460">
        <v>9.07</v>
      </c>
    </row>
    <row r="461" spans="1:6" x14ac:dyDescent="0.2">
      <c r="A461">
        <v>736787.60250000004</v>
      </c>
      <c r="B461">
        <v>-149.596745</v>
      </c>
      <c r="C461">
        <v>-17.014824999999998</v>
      </c>
      <c r="D461">
        <v>147.28000008046601</v>
      </c>
      <c r="E461">
        <v>29.9</v>
      </c>
      <c r="F461">
        <v>9.07</v>
      </c>
    </row>
    <row r="462" spans="1:6" x14ac:dyDescent="0.2">
      <c r="A462">
        <v>736787.60259999998</v>
      </c>
      <c r="B462">
        <v>-149.59676400000001</v>
      </c>
      <c r="C462">
        <v>-17.014828999999999</v>
      </c>
      <c r="D462">
        <v>149.78639899578201</v>
      </c>
      <c r="E462">
        <v>29.9</v>
      </c>
      <c r="F462">
        <v>9.2222399382019393</v>
      </c>
    </row>
    <row r="463" spans="1:6" x14ac:dyDescent="0.2">
      <c r="A463">
        <v>736787.60259999998</v>
      </c>
      <c r="B463">
        <v>-149.596778</v>
      </c>
      <c r="C463">
        <v>-17.014831000000001</v>
      </c>
      <c r="D463">
        <v>149.78639899578201</v>
      </c>
      <c r="E463">
        <v>29.9</v>
      </c>
      <c r="F463">
        <v>9.2222399382019393</v>
      </c>
    </row>
    <row r="464" spans="1:6" x14ac:dyDescent="0.2">
      <c r="A464">
        <v>736787.60259999998</v>
      </c>
      <c r="B464">
        <v>-149.59678500000001</v>
      </c>
      <c r="C464">
        <v>-17.014837</v>
      </c>
      <c r="D464">
        <v>149.78639899578201</v>
      </c>
      <c r="E464">
        <v>29.9</v>
      </c>
      <c r="F464">
        <v>9.2222399382019393</v>
      </c>
    </row>
    <row r="465" spans="1:6" x14ac:dyDescent="0.2">
      <c r="A465">
        <v>736787.60259999998</v>
      </c>
      <c r="B465">
        <v>-149.596801</v>
      </c>
      <c r="C465">
        <v>-17.014841000000001</v>
      </c>
      <c r="D465">
        <v>149.78639899578201</v>
      </c>
      <c r="E465">
        <v>29.9</v>
      </c>
      <c r="F465">
        <v>9.2222399382019393</v>
      </c>
    </row>
    <row r="466" spans="1:6" x14ac:dyDescent="0.2">
      <c r="A466">
        <v>736787.60259999998</v>
      </c>
      <c r="B466">
        <v>-149.59681</v>
      </c>
      <c r="C466">
        <v>-17.014845000000001</v>
      </c>
      <c r="D466">
        <v>149.78639899578201</v>
      </c>
      <c r="E466">
        <v>29.9</v>
      </c>
      <c r="F466">
        <v>9.2222399382019393</v>
      </c>
    </row>
    <row r="467" spans="1:6" x14ac:dyDescent="0.2">
      <c r="A467">
        <v>736787.60259999998</v>
      </c>
      <c r="B467">
        <v>-149.59682000000001</v>
      </c>
      <c r="C467">
        <v>-17.014845999999999</v>
      </c>
      <c r="D467">
        <v>149.78639899578201</v>
      </c>
      <c r="E467">
        <v>29.9</v>
      </c>
      <c r="F467">
        <v>9.2222399382019393</v>
      </c>
    </row>
    <row r="468" spans="1:6" x14ac:dyDescent="0.2">
      <c r="A468">
        <v>736787.60270000005</v>
      </c>
      <c r="B468">
        <v>-149.59683799999999</v>
      </c>
      <c r="C468">
        <v>-17.014844</v>
      </c>
      <c r="D468">
        <v>150.91200254273301</v>
      </c>
      <c r="E468">
        <v>30</v>
      </c>
      <c r="F468">
        <v>9.29072015256396</v>
      </c>
    </row>
    <row r="469" spans="1:6" x14ac:dyDescent="0.2">
      <c r="A469">
        <v>736787.60270000005</v>
      </c>
      <c r="B469">
        <v>-149.596856</v>
      </c>
      <c r="C469">
        <v>-17.014849000000002</v>
      </c>
      <c r="D469">
        <v>150.91200254273301</v>
      </c>
      <c r="E469">
        <v>30</v>
      </c>
      <c r="F469">
        <v>9.29072015256396</v>
      </c>
    </row>
    <row r="470" spans="1:6" x14ac:dyDescent="0.2">
      <c r="A470">
        <v>736787.60270000005</v>
      </c>
      <c r="B470">
        <v>-149.59686500000001</v>
      </c>
      <c r="C470">
        <v>-17.014848000000001</v>
      </c>
      <c r="D470">
        <v>150.91200254273301</v>
      </c>
      <c r="E470">
        <v>30</v>
      </c>
      <c r="F470">
        <v>9.29072015256396</v>
      </c>
    </row>
    <row r="471" spans="1:6" x14ac:dyDescent="0.2">
      <c r="A471">
        <v>736787.60270000005</v>
      </c>
      <c r="B471">
        <v>-149.59687500000001</v>
      </c>
      <c r="C471">
        <v>-17.014847</v>
      </c>
      <c r="D471">
        <v>150.91200254273301</v>
      </c>
      <c r="E471">
        <v>30</v>
      </c>
      <c r="F471">
        <v>9.29072015256396</v>
      </c>
    </row>
    <row r="472" spans="1:6" x14ac:dyDescent="0.2">
      <c r="A472">
        <v>736787.60270000005</v>
      </c>
      <c r="B472">
        <v>-149.59688700000001</v>
      </c>
      <c r="C472">
        <v>-17.014845000000001</v>
      </c>
      <c r="D472">
        <v>150.91200254273301</v>
      </c>
      <c r="E472">
        <v>30</v>
      </c>
      <c r="F472">
        <v>9.29072015256396</v>
      </c>
    </row>
    <row r="473" spans="1:6" x14ac:dyDescent="0.2">
      <c r="A473">
        <v>736787.60270000005</v>
      </c>
      <c r="B473">
        <v>-149.59690399999999</v>
      </c>
      <c r="C473">
        <v>-17.014847</v>
      </c>
      <c r="D473">
        <v>150.91200254273301</v>
      </c>
      <c r="E473">
        <v>30</v>
      </c>
      <c r="F473">
        <v>9.29072015256396</v>
      </c>
    </row>
    <row r="474" spans="1:6" x14ac:dyDescent="0.2">
      <c r="A474">
        <v>736787.60279999999</v>
      </c>
      <c r="B474">
        <v>-149.59692200000001</v>
      </c>
      <c r="C474">
        <v>-17.014842999999999</v>
      </c>
      <c r="D474">
        <v>154.56479844217401</v>
      </c>
      <c r="E474">
        <v>30</v>
      </c>
      <c r="F474">
        <v>9.5079199079466399</v>
      </c>
    </row>
    <row r="475" spans="1:6" x14ac:dyDescent="0.2">
      <c r="A475">
        <v>736787.60279999999</v>
      </c>
      <c r="B475">
        <v>-149.596934</v>
      </c>
      <c r="C475">
        <v>-17.014835999999999</v>
      </c>
      <c r="D475">
        <v>154.56479844217401</v>
      </c>
      <c r="E475">
        <v>30</v>
      </c>
      <c r="F475">
        <v>9.5079199079466399</v>
      </c>
    </row>
    <row r="476" spans="1:6" x14ac:dyDescent="0.2">
      <c r="A476">
        <v>736787.60279999999</v>
      </c>
      <c r="B476">
        <v>-149.59694200000001</v>
      </c>
      <c r="C476">
        <v>-17.01483</v>
      </c>
      <c r="D476">
        <v>154.56479844217401</v>
      </c>
      <c r="E476">
        <v>30</v>
      </c>
      <c r="F476">
        <v>9.5079199079466399</v>
      </c>
    </row>
    <row r="477" spans="1:6" x14ac:dyDescent="0.2">
      <c r="A477">
        <v>736787.60279999999</v>
      </c>
      <c r="B477">
        <v>-149.596957</v>
      </c>
      <c r="C477">
        <v>-17.014824000000001</v>
      </c>
      <c r="D477">
        <v>154.56479844217401</v>
      </c>
      <c r="E477">
        <v>30</v>
      </c>
      <c r="F477">
        <v>9.5079199079466399</v>
      </c>
    </row>
    <row r="478" spans="1:6" x14ac:dyDescent="0.2">
      <c r="A478">
        <v>736787.60279999999</v>
      </c>
      <c r="B478">
        <v>-149.59697399999999</v>
      </c>
      <c r="C478">
        <v>-17.014818999999999</v>
      </c>
      <c r="D478">
        <v>154.56479844217401</v>
      </c>
      <c r="E478">
        <v>30</v>
      </c>
      <c r="F478">
        <v>9.5079199079466399</v>
      </c>
    </row>
    <row r="479" spans="1:6" x14ac:dyDescent="0.2">
      <c r="A479">
        <v>736787.60290000006</v>
      </c>
      <c r="B479">
        <v>-149.59698800000001</v>
      </c>
      <c r="C479">
        <v>-17.014818999999999</v>
      </c>
      <c r="D479">
        <v>155.454401602887</v>
      </c>
      <c r="E479">
        <v>30</v>
      </c>
      <c r="F479">
        <v>9.5598400935017498</v>
      </c>
    </row>
    <row r="480" spans="1:6" x14ac:dyDescent="0.2">
      <c r="A480">
        <v>736787.60290000006</v>
      </c>
      <c r="B480">
        <v>-149.59699800000001</v>
      </c>
      <c r="C480">
        <v>-17.01482</v>
      </c>
      <c r="D480">
        <v>155.454401602887</v>
      </c>
      <c r="E480">
        <v>30</v>
      </c>
      <c r="F480">
        <v>9.5598400935017498</v>
      </c>
    </row>
    <row r="481" spans="1:6" x14ac:dyDescent="0.2">
      <c r="A481">
        <v>736787.60290000006</v>
      </c>
      <c r="B481">
        <v>-149.59701200000001</v>
      </c>
      <c r="C481">
        <v>-17.014817000000001</v>
      </c>
      <c r="D481">
        <v>155.454401602887</v>
      </c>
      <c r="E481">
        <v>30</v>
      </c>
      <c r="F481">
        <v>9.5598400935017498</v>
      </c>
    </row>
    <row r="482" spans="1:6" x14ac:dyDescent="0.2">
      <c r="A482">
        <v>736787.60290000006</v>
      </c>
      <c r="B482">
        <v>-149.597024</v>
      </c>
      <c r="C482">
        <v>-17.014817000000001</v>
      </c>
      <c r="D482">
        <v>155.454401602887</v>
      </c>
      <c r="E482">
        <v>30</v>
      </c>
      <c r="F482">
        <v>9.5598400935017498</v>
      </c>
    </row>
    <row r="483" spans="1:6" x14ac:dyDescent="0.2">
      <c r="A483">
        <v>736787.60290000006</v>
      </c>
      <c r="B483">
        <v>-149.597036</v>
      </c>
      <c r="C483">
        <v>-17.014821999999999</v>
      </c>
      <c r="D483">
        <v>155.454401602887</v>
      </c>
      <c r="E483">
        <v>30</v>
      </c>
      <c r="F483">
        <v>9.5598400935017498</v>
      </c>
    </row>
    <row r="484" spans="1:6" x14ac:dyDescent="0.2">
      <c r="A484">
        <v>736787.603</v>
      </c>
      <c r="B484">
        <v>-149.597048</v>
      </c>
      <c r="C484">
        <v>-17.01483</v>
      </c>
      <c r="D484">
        <v>158.264000144839</v>
      </c>
      <c r="E484">
        <v>30</v>
      </c>
      <c r="F484">
        <v>9.7276000096559692</v>
      </c>
    </row>
    <row r="485" spans="1:6" x14ac:dyDescent="0.2">
      <c r="A485">
        <v>736787.603</v>
      </c>
      <c r="B485">
        <v>-149.59705700000001</v>
      </c>
      <c r="C485">
        <v>-17.014834</v>
      </c>
      <c r="D485">
        <v>158.264000144839</v>
      </c>
      <c r="E485">
        <v>30</v>
      </c>
      <c r="F485">
        <v>9.7276000096559692</v>
      </c>
    </row>
    <row r="486" spans="1:6" x14ac:dyDescent="0.2">
      <c r="A486">
        <v>736787.603</v>
      </c>
      <c r="B486">
        <v>-149.59707399999999</v>
      </c>
      <c r="C486">
        <v>-17.014842999999999</v>
      </c>
      <c r="D486">
        <v>158.264000144839</v>
      </c>
      <c r="E486">
        <v>30</v>
      </c>
      <c r="F486">
        <v>9.7276000096559692</v>
      </c>
    </row>
    <row r="487" spans="1:6" x14ac:dyDescent="0.2">
      <c r="A487">
        <v>736787.603</v>
      </c>
      <c r="B487">
        <v>-149.59708499999999</v>
      </c>
      <c r="C487">
        <v>-17.014852000000001</v>
      </c>
      <c r="D487">
        <v>158.264000144839</v>
      </c>
      <c r="E487">
        <v>30</v>
      </c>
      <c r="F487">
        <v>9.7276000096559692</v>
      </c>
    </row>
    <row r="488" spans="1:6" x14ac:dyDescent="0.2">
      <c r="A488">
        <v>736787.603</v>
      </c>
      <c r="B488">
        <v>-149.59710000000001</v>
      </c>
      <c r="C488">
        <v>-17.014856999999999</v>
      </c>
      <c r="D488">
        <v>158.264000144839</v>
      </c>
      <c r="E488">
        <v>30</v>
      </c>
      <c r="F488">
        <v>9.7276000096559692</v>
      </c>
    </row>
    <row r="489" spans="1:6" x14ac:dyDescent="0.2">
      <c r="A489">
        <v>736787.60309999995</v>
      </c>
      <c r="B489">
        <v>-149.59711200000001</v>
      </c>
      <c r="C489">
        <v>-17.014861</v>
      </c>
      <c r="D489">
        <v>158.6</v>
      </c>
      <c r="E489">
        <v>30</v>
      </c>
      <c r="F489">
        <v>9.75</v>
      </c>
    </row>
    <row r="490" spans="1:6" x14ac:dyDescent="0.2">
      <c r="A490">
        <v>736787.60309999995</v>
      </c>
      <c r="B490">
        <v>-149.59712300000001</v>
      </c>
      <c r="C490">
        <v>-17.014869000000001</v>
      </c>
      <c r="D490">
        <v>158.6</v>
      </c>
      <c r="E490">
        <v>30</v>
      </c>
      <c r="F490">
        <v>9.75</v>
      </c>
    </row>
    <row r="491" spans="1:6" x14ac:dyDescent="0.2">
      <c r="A491">
        <v>736787.60309999995</v>
      </c>
      <c r="B491">
        <v>-149.597138</v>
      </c>
      <c r="C491">
        <v>-17.014883000000001</v>
      </c>
      <c r="D491">
        <v>158.6</v>
      </c>
      <c r="E491">
        <v>30</v>
      </c>
      <c r="F491">
        <v>9.75</v>
      </c>
    </row>
    <row r="492" spans="1:6" x14ac:dyDescent="0.2">
      <c r="A492">
        <v>736787.60309999995</v>
      </c>
      <c r="B492">
        <v>-149.59714299999999</v>
      </c>
      <c r="C492">
        <v>-17.014892</v>
      </c>
      <c r="D492">
        <v>158.6</v>
      </c>
      <c r="E492">
        <v>30</v>
      </c>
      <c r="F492">
        <v>9.75</v>
      </c>
    </row>
    <row r="493" spans="1:6" x14ac:dyDescent="0.2">
      <c r="A493">
        <v>736787.60309999995</v>
      </c>
      <c r="B493">
        <v>-149.59714700000001</v>
      </c>
      <c r="C493">
        <v>-17.014900000000001</v>
      </c>
      <c r="D493">
        <v>158.6</v>
      </c>
      <c r="E493">
        <v>30</v>
      </c>
      <c r="F493">
        <v>9.75</v>
      </c>
    </row>
    <row r="494" spans="1:6" x14ac:dyDescent="0.2">
      <c r="A494">
        <v>736787.60309999995</v>
      </c>
      <c r="B494">
        <v>-149.59715</v>
      </c>
      <c r="C494">
        <v>-17.014908999999999</v>
      </c>
      <c r="D494">
        <v>158.6</v>
      </c>
      <c r="E494">
        <v>30</v>
      </c>
      <c r="F494">
        <v>9.75</v>
      </c>
    </row>
    <row r="495" spans="1:6" x14ac:dyDescent="0.2">
      <c r="A495">
        <v>736787.60320000001</v>
      </c>
      <c r="B495">
        <v>-149.59715199999999</v>
      </c>
      <c r="C495">
        <v>-17.01492</v>
      </c>
      <c r="D495">
        <v>158.152000289678</v>
      </c>
      <c r="E495">
        <v>30.0895999420643</v>
      </c>
      <c r="F495">
        <v>9.7141600231742693</v>
      </c>
    </row>
    <row r="496" spans="1:6" x14ac:dyDescent="0.2">
      <c r="A496">
        <v>736787.60320000001</v>
      </c>
      <c r="B496">
        <v>-149.597151</v>
      </c>
      <c r="C496">
        <v>-17.014937</v>
      </c>
      <c r="D496">
        <v>158.152000289678</v>
      </c>
      <c r="E496">
        <v>30.0895999420643</v>
      </c>
      <c r="F496">
        <v>9.7141600231742693</v>
      </c>
    </row>
    <row r="497" spans="1:6" x14ac:dyDescent="0.2">
      <c r="A497">
        <v>736787.60320000001</v>
      </c>
      <c r="B497">
        <v>-149.59714700000001</v>
      </c>
      <c r="C497">
        <v>-17.014949999999999</v>
      </c>
      <c r="D497">
        <v>158.152000289678</v>
      </c>
      <c r="E497">
        <v>30.0895999420643</v>
      </c>
      <c r="F497">
        <v>9.7141600231742693</v>
      </c>
    </row>
    <row r="498" spans="1:6" x14ac:dyDescent="0.2">
      <c r="A498">
        <v>736787.60320000001</v>
      </c>
      <c r="B498">
        <v>-149.59714099999999</v>
      </c>
      <c r="C498">
        <v>-17.014959000000001</v>
      </c>
      <c r="D498">
        <v>158.152000289678</v>
      </c>
      <c r="E498">
        <v>30.0895999420643</v>
      </c>
      <c r="F498">
        <v>9.7141600231742693</v>
      </c>
    </row>
    <row r="499" spans="1:6" x14ac:dyDescent="0.2">
      <c r="A499">
        <v>736787.60320000001</v>
      </c>
      <c r="B499">
        <v>-149.597138</v>
      </c>
      <c r="C499">
        <v>-17.014969000000001</v>
      </c>
      <c r="D499">
        <v>158.152000289678</v>
      </c>
      <c r="E499">
        <v>30.0895999420643</v>
      </c>
      <c r="F499">
        <v>9.7141600231742693</v>
      </c>
    </row>
    <row r="500" spans="1:6" x14ac:dyDescent="0.2">
      <c r="A500">
        <v>736787.60329999996</v>
      </c>
      <c r="B500">
        <v>-149.59713400000001</v>
      </c>
      <c r="C500">
        <v>-17.014987999999999</v>
      </c>
      <c r="D500">
        <v>158.536799616981</v>
      </c>
      <c r="E500">
        <v>30</v>
      </c>
      <c r="F500">
        <v>9.7449599781131901</v>
      </c>
    </row>
    <row r="501" spans="1:6" x14ac:dyDescent="0.2">
      <c r="A501">
        <v>736787.60329999996</v>
      </c>
      <c r="B501">
        <v>-149.59713099999999</v>
      </c>
      <c r="C501">
        <v>-17.014997000000001</v>
      </c>
      <c r="D501">
        <v>158.536799616981</v>
      </c>
      <c r="E501">
        <v>30</v>
      </c>
      <c r="F501">
        <v>9.7449599781131901</v>
      </c>
    </row>
    <row r="502" spans="1:6" x14ac:dyDescent="0.2">
      <c r="A502">
        <v>736787.60329999996</v>
      </c>
      <c r="B502">
        <v>-149.597129</v>
      </c>
      <c r="C502">
        <v>-17.015008999999999</v>
      </c>
      <c r="D502">
        <v>158.536799616981</v>
      </c>
      <c r="E502">
        <v>30</v>
      </c>
      <c r="F502">
        <v>9.7449599781131901</v>
      </c>
    </row>
    <row r="503" spans="1:6" x14ac:dyDescent="0.2">
      <c r="A503">
        <v>736787.60329999996</v>
      </c>
      <c r="B503">
        <v>-149.59712300000001</v>
      </c>
      <c r="C503">
        <v>-17.015018999999999</v>
      </c>
      <c r="D503">
        <v>158.536799616981</v>
      </c>
      <c r="E503">
        <v>30</v>
      </c>
      <c r="F503">
        <v>9.7449599781131901</v>
      </c>
    </row>
    <row r="504" spans="1:6" x14ac:dyDescent="0.2">
      <c r="A504">
        <v>736787.60329999996</v>
      </c>
      <c r="B504">
        <v>-149.597117</v>
      </c>
      <c r="C504">
        <v>-17.015028999999998</v>
      </c>
      <c r="D504">
        <v>158.536799616981</v>
      </c>
      <c r="E504">
        <v>30</v>
      </c>
      <c r="F504">
        <v>9.7449599781131901</v>
      </c>
    </row>
    <row r="505" spans="1:6" x14ac:dyDescent="0.2">
      <c r="A505">
        <v>736787.60329999996</v>
      </c>
      <c r="B505">
        <v>-149.597116</v>
      </c>
      <c r="C505">
        <v>-17.015042000000001</v>
      </c>
      <c r="D505">
        <v>158.536799616981</v>
      </c>
      <c r="E505">
        <v>30</v>
      </c>
      <c r="F505">
        <v>9.7449599781131901</v>
      </c>
    </row>
    <row r="506" spans="1:6" x14ac:dyDescent="0.2">
      <c r="A506">
        <v>736787.60329999996</v>
      </c>
      <c r="B506">
        <v>-149.597103</v>
      </c>
      <c r="C506">
        <v>-17.015065</v>
      </c>
      <c r="D506">
        <v>158.536799616981</v>
      </c>
      <c r="E506">
        <v>30</v>
      </c>
      <c r="F506">
        <v>9.7449599781131901</v>
      </c>
    </row>
    <row r="507" spans="1:6" x14ac:dyDescent="0.2">
      <c r="A507">
        <v>736787.60340000002</v>
      </c>
      <c r="B507">
        <v>-149.59710000000001</v>
      </c>
      <c r="C507">
        <v>-17.015077999999999</v>
      </c>
      <c r="D507">
        <v>158.6</v>
      </c>
      <c r="E507">
        <v>30.1</v>
      </c>
      <c r="F507">
        <v>9.74</v>
      </c>
    </row>
    <row r="508" spans="1:6" x14ac:dyDescent="0.2">
      <c r="A508">
        <v>736787.60340000002</v>
      </c>
      <c r="B508">
        <v>-149.59709599999999</v>
      </c>
      <c r="C508">
        <v>-17.015094000000001</v>
      </c>
      <c r="D508">
        <v>158.6</v>
      </c>
      <c r="E508">
        <v>30.1</v>
      </c>
      <c r="F508">
        <v>9.74</v>
      </c>
    </row>
    <row r="509" spans="1:6" x14ac:dyDescent="0.2">
      <c r="A509">
        <v>736787.60340000002</v>
      </c>
      <c r="B509">
        <v>-149.59708900000001</v>
      </c>
      <c r="C509">
        <v>-17.015104000000001</v>
      </c>
      <c r="D509">
        <v>158.6</v>
      </c>
      <c r="E509">
        <v>30.1</v>
      </c>
      <c r="F509">
        <v>9.74</v>
      </c>
    </row>
    <row r="510" spans="1:6" x14ac:dyDescent="0.2">
      <c r="A510">
        <v>736787.60340000002</v>
      </c>
      <c r="B510">
        <v>-149.597082</v>
      </c>
      <c r="C510">
        <v>-17.015111999999998</v>
      </c>
      <c r="D510">
        <v>158.6</v>
      </c>
      <c r="E510">
        <v>30.1</v>
      </c>
      <c r="F510">
        <v>9.74</v>
      </c>
    </row>
    <row r="511" spans="1:6" x14ac:dyDescent="0.2">
      <c r="A511">
        <v>736787.60340000002</v>
      </c>
      <c r="B511">
        <v>-149.59707599999999</v>
      </c>
      <c r="C511">
        <v>-17.015118999999999</v>
      </c>
      <c r="D511">
        <v>158.6</v>
      </c>
      <c r="E511">
        <v>30.1</v>
      </c>
      <c r="F511">
        <v>9.74</v>
      </c>
    </row>
    <row r="512" spans="1:6" x14ac:dyDescent="0.2">
      <c r="A512">
        <v>736787.60340000002</v>
      </c>
      <c r="B512">
        <v>-149.59706499999999</v>
      </c>
      <c r="C512">
        <v>-17.015128000000001</v>
      </c>
      <c r="D512">
        <v>158.6</v>
      </c>
      <c r="E512">
        <v>30.1</v>
      </c>
      <c r="F512">
        <v>9.74</v>
      </c>
    </row>
    <row r="513" spans="1:6" x14ac:dyDescent="0.2">
      <c r="A513">
        <v>736787.60340000002</v>
      </c>
      <c r="B513">
        <v>-149.59705199999999</v>
      </c>
      <c r="C513">
        <v>-17.015139999999999</v>
      </c>
      <c r="D513">
        <v>158.6</v>
      </c>
      <c r="E513">
        <v>30.1</v>
      </c>
      <c r="F513">
        <v>9.74</v>
      </c>
    </row>
    <row r="514" spans="1:6" x14ac:dyDescent="0.2">
      <c r="A514">
        <v>736787.60340000002</v>
      </c>
      <c r="B514">
        <v>-149.59704099999999</v>
      </c>
      <c r="C514">
        <v>-17.015146000000001</v>
      </c>
      <c r="D514">
        <v>158.6</v>
      </c>
      <c r="E514">
        <v>30.1</v>
      </c>
      <c r="F514">
        <v>9.74</v>
      </c>
    </row>
    <row r="515" spans="1:6" x14ac:dyDescent="0.2">
      <c r="A515">
        <v>736787.60340000002</v>
      </c>
      <c r="B515">
        <v>-149.59703200000001</v>
      </c>
      <c r="C515">
        <v>-17.015153999999999</v>
      </c>
      <c r="D515">
        <v>158.6</v>
      </c>
      <c r="E515">
        <v>30.1</v>
      </c>
      <c r="F515">
        <v>9.74</v>
      </c>
    </row>
    <row r="516" spans="1:6" x14ac:dyDescent="0.2">
      <c r="A516">
        <v>736787.60349999997</v>
      </c>
      <c r="B516">
        <v>-149.59702200000001</v>
      </c>
      <c r="C516">
        <v>-17.015163999999999</v>
      </c>
      <c r="D516">
        <v>159.41599990344099</v>
      </c>
      <c r="E516">
        <v>30.1</v>
      </c>
      <c r="F516">
        <v>9.79159999034405</v>
      </c>
    </row>
    <row r="517" spans="1:6" x14ac:dyDescent="0.2">
      <c r="A517">
        <v>736787.60349999997</v>
      </c>
      <c r="B517">
        <v>-149.59701000000001</v>
      </c>
      <c r="C517">
        <v>-17.015173999999998</v>
      </c>
      <c r="D517">
        <v>159.41599990344099</v>
      </c>
      <c r="E517">
        <v>30.1</v>
      </c>
      <c r="F517">
        <v>9.79159999034405</v>
      </c>
    </row>
    <row r="518" spans="1:6" x14ac:dyDescent="0.2">
      <c r="A518">
        <v>736787.60349999997</v>
      </c>
      <c r="B518">
        <v>-149.59699800000001</v>
      </c>
      <c r="C518">
        <v>-17.015186</v>
      </c>
      <c r="D518">
        <v>159.41599990344099</v>
      </c>
      <c r="E518">
        <v>30.1</v>
      </c>
      <c r="F518">
        <v>9.79159999034405</v>
      </c>
    </row>
    <row r="519" spans="1:6" x14ac:dyDescent="0.2">
      <c r="A519">
        <v>736787.60349999997</v>
      </c>
      <c r="B519">
        <v>-149.59698599999999</v>
      </c>
      <c r="C519">
        <v>-17.015191999999999</v>
      </c>
      <c r="D519">
        <v>159.41599990344099</v>
      </c>
      <c r="E519">
        <v>30.1</v>
      </c>
      <c r="F519">
        <v>9.79159999034405</v>
      </c>
    </row>
    <row r="520" spans="1:6" x14ac:dyDescent="0.2">
      <c r="A520">
        <v>736787.60349999997</v>
      </c>
      <c r="B520">
        <v>-149.59697600000001</v>
      </c>
      <c r="C520">
        <v>-17.0152</v>
      </c>
      <c r="D520">
        <v>159.41599990344099</v>
      </c>
      <c r="E520">
        <v>30.1</v>
      </c>
      <c r="F520">
        <v>9.79159999034405</v>
      </c>
    </row>
    <row r="521" spans="1:6" x14ac:dyDescent="0.2">
      <c r="A521">
        <v>736787.60349999997</v>
      </c>
      <c r="B521">
        <v>-149.596971</v>
      </c>
      <c r="C521">
        <v>-17.015211999999998</v>
      </c>
      <c r="D521">
        <v>159.41599990344099</v>
      </c>
      <c r="E521">
        <v>30.1</v>
      </c>
      <c r="F521">
        <v>9.79159999034405</v>
      </c>
    </row>
    <row r="522" spans="1:6" x14ac:dyDescent="0.2">
      <c r="A522">
        <v>736787.60349999997</v>
      </c>
      <c r="B522">
        <v>-149.59696400000001</v>
      </c>
      <c r="C522">
        <v>-17.015224</v>
      </c>
      <c r="D522">
        <v>159.41599990344099</v>
      </c>
      <c r="E522">
        <v>30.1</v>
      </c>
      <c r="F522">
        <v>9.79159999034405</v>
      </c>
    </row>
    <row r="523" spans="1:6" x14ac:dyDescent="0.2">
      <c r="A523">
        <v>736787.60349999997</v>
      </c>
      <c r="B523">
        <v>-149.596958</v>
      </c>
      <c r="C523">
        <v>-17.015232000000001</v>
      </c>
      <c r="D523">
        <v>159.41599990344099</v>
      </c>
      <c r="E523">
        <v>30.1</v>
      </c>
      <c r="F523">
        <v>9.79159999034405</v>
      </c>
    </row>
    <row r="524" spans="1:6" x14ac:dyDescent="0.2">
      <c r="A524">
        <v>736787.60360000003</v>
      </c>
      <c r="B524">
        <v>-149.59695600000001</v>
      </c>
      <c r="C524">
        <v>-17.015246000000001</v>
      </c>
      <c r="D524">
        <v>159.6</v>
      </c>
      <c r="E524">
        <v>30.1</v>
      </c>
      <c r="F524">
        <v>9.8019199882519104</v>
      </c>
    </row>
    <row r="525" spans="1:6" x14ac:dyDescent="0.2">
      <c r="A525">
        <v>736787.60360000003</v>
      </c>
      <c r="B525">
        <v>-149.596949</v>
      </c>
      <c r="C525">
        <v>-17.015257999999999</v>
      </c>
      <c r="D525">
        <v>159.6</v>
      </c>
      <c r="E525">
        <v>30.1</v>
      </c>
      <c r="F525">
        <v>9.8019199882519104</v>
      </c>
    </row>
    <row r="526" spans="1:6" x14ac:dyDescent="0.2">
      <c r="A526">
        <v>736787.60360000003</v>
      </c>
      <c r="B526">
        <v>-149.59693999999999</v>
      </c>
      <c r="C526">
        <v>-17.015280000000001</v>
      </c>
      <c r="D526">
        <v>159.6</v>
      </c>
      <c r="E526">
        <v>30.1</v>
      </c>
      <c r="F526">
        <v>9.8019199882519104</v>
      </c>
    </row>
    <row r="527" spans="1:6" x14ac:dyDescent="0.2">
      <c r="A527">
        <v>736787.60360000003</v>
      </c>
      <c r="B527">
        <v>-149.596935</v>
      </c>
      <c r="C527">
        <v>-17.015294000000001</v>
      </c>
      <c r="D527">
        <v>159.6</v>
      </c>
      <c r="E527">
        <v>30.1</v>
      </c>
      <c r="F527">
        <v>9.8019199882519104</v>
      </c>
    </row>
    <row r="528" spans="1:6" x14ac:dyDescent="0.2">
      <c r="A528">
        <v>736787.60360000003</v>
      </c>
      <c r="B528">
        <v>-149.59692999999999</v>
      </c>
      <c r="C528">
        <v>-17.015304</v>
      </c>
      <c r="D528">
        <v>159.6</v>
      </c>
      <c r="E528">
        <v>30.1</v>
      </c>
      <c r="F528">
        <v>9.8019199882519104</v>
      </c>
    </row>
    <row r="529" spans="1:6" x14ac:dyDescent="0.2">
      <c r="A529">
        <v>736787.60360000003</v>
      </c>
      <c r="B529">
        <v>-149.596924</v>
      </c>
      <c r="C529">
        <v>-17.015312000000002</v>
      </c>
      <c r="D529">
        <v>159.6</v>
      </c>
      <c r="E529">
        <v>30.1</v>
      </c>
      <c r="F529">
        <v>9.8019199882519104</v>
      </c>
    </row>
    <row r="530" spans="1:6" x14ac:dyDescent="0.2">
      <c r="A530">
        <v>736787.60360000003</v>
      </c>
      <c r="B530">
        <v>-149.59691699999999</v>
      </c>
      <c r="C530">
        <v>-17.015322000000001</v>
      </c>
      <c r="D530">
        <v>159.6</v>
      </c>
      <c r="E530">
        <v>30.1</v>
      </c>
      <c r="F530">
        <v>9.8019199882519104</v>
      </c>
    </row>
    <row r="531" spans="1:6" x14ac:dyDescent="0.2">
      <c r="A531">
        <v>736787.60360000003</v>
      </c>
      <c r="B531">
        <v>-149.59690900000001</v>
      </c>
      <c r="C531">
        <v>-17.015332000000001</v>
      </c>
      <c r="D531">
        <v>159.6</v>
      </c>
      <c r="E531">
        <v>30.1</v>
      </c>
      <c r="F531">
        <v>9.8019199882519104</v>
      </c>
    </row>
    <row r="532" spans="1:6" x14ac:dyDescent="0.2">
      <c r="A532">
        <v>736787.60369999998</v>
      </c>
      <c r="B532">
        <v>-149.59690399999999</v>
      </c>
      <c r="C532">
        <v>-17.015342</v>
      </c>
      <c r="D532">
        <v>159.66079987447301</v>
      </c>
      <c r="E532">
        <v>30.1</v>
      </c>
      <c r="F532">
        <v>9.81071999163151</v>
      </c>
    </row>
    <row r="533" spans="1:6" x14ac:dyDescent="0.2">
      <c r="A533">
        <v>736787.60369999998</v>
      </c>
      <c r="B533">
        <v>-149.59689</v>
      </c>
      <c r="C533">
        <v>-17.015350000000002</v>
      </c>
      <c r="D533">
        <v>159.66079987447301</v>
      </c>
      <c r="E533">
        <v>30.1</v>
      </c>
      <c r="F533">
        <v>9.81071999163151</v>
      </c>
    </row>
    <row r="534" spans="1:6" x14ac:dyDescent="0.2">
      <c r="A534">
        <v>736787.60369999998</v>
      </c>
      <c r="B534">
        <v>-149.59688199999999</v>
      </c>
      <c r="C534">
        <v>-17.015356000000001</v>
      </c>
      <c r="D534">
        <v>159.66079987447301</v>
      </c>
      <c r="E534">
        <v>30.1</v>
      </c>
      <c r="F534">
        <v>9.81071999163151</v>
      </c>
    </row>
    <row r="535" spans="1:6" x14ac:dyDescent="0.2">
      <c r="A535">
        <v>736787.60369999998</v>
      </c>
      <c r="B535">
        <v>-149.596867</v>
      </c>
      <c r="C535">
        <v>-17.015360000000001</v>
      </c>
      <c r="D535">
        <v>159.66079987447301</v>
      </c>
      <c r="E535">
        <v>30.1</v>
      </c>
      <c r="F535">
        <v>9.81071999163151</v>
      </c>
    </row>
    <row r="536" spans="1:6" x14ac:dyDescent="0.2">
      <c r="A536">
        <v>736787.60380000004</v>
      </c>
      <c r="B536">
        <v>-149.59685099999999</v>
      </c>
      <c r="C536">
        <v>-17.015360000000001</v>
      </c>
      <c r="D536">
        <v>159.1</v>
      </c>
      <c r="E536">
        <v>30.1</v>
      </c>
      <c r="F536">
        <v>9.77</v>
      </c>
    </row>
    <row r="537" spans="1:6" x14ac:dyDescent="0.2">
      <c r="A537">
        <v>736787.60380000004</v>
      </c>
      <c r="B537">
        <v>-149.59683899999999</v>
      </c>
      <c r="C537">
        <v>-17.015357999999999</v>
      </c>
      <c r="D537">
        <v>159.1</v>
      </c>
      <c r="E537">
        <v>30.1</v>
      </c>
      <c r="F537">
        <v>9.77</v>
      </c>
    </row>
    <row r="538" spans="1:6" x14ac:dyDescent="0.2">
      <c r="A538">
        <v>736787.60380000004</v>
      </c>
      <c r="B538">
        <v>-149.59682100000001</v>
      </c>
      <c r="C538">
        <v>-17.015360000000001</v>
      </c>
      <c r="D538">
        <v>159.1</v>
      </c>
      <c r="E538">
        <v>30.1</v>
      </c>
      <c r="F538">
        <v>9.77</v>
      </c>
    </row>
    <row r="539" spans="1:6" x14ac:dyDescent="0.2">
      <c r="A539">
        <v>736787.60380000004</v>
      </c>
      <c r="B539">
        <v>-149.59680499999999</v>
      </c>
      <c r="C539">
        <v>-17.015370000000001</v>
      </c>
      <c r="D539">
        <v>159.1</v>
      </c>
      <c r="E539">
        <v>30.1</v>
      </c>
      <c r="F539">
        <v>9.77</v>
      </c>
    </row>
    <row r="540" spans="1:6" x14ac:dyDescent="0.2">
      <c r="A540">
        <v>736787.60380000004</v>
      </c>
      <c r="B540">
        <v>-149.596788</v>
      </c>
      <c r="C540">
        <v>-17.015376</v>
      </c>
      <c r="D540">
        <v>159.1</v>
      </c>
      <c r="E540">
        <v>30.1</v>
      </c>
      <c r="F540">
        <v>9.77</v>
      </c>
    </row>
    <row r="541" spans="1:6" x14ac:dyDescent="0.2">
      <c r="A541">
        <v>736787.60389999999</v>
      </c>
      <c r="B541">
        <v>-149.596779</v>
      </c>
      <c r="C541">
        <v>-17.015388000000002</v>
      </c>
      <c r="D541">
        <v>159.00080003540501</v>
      </c>
      <c r="E541">
        <v>30.1</v>
      </c>
      <c r="F541">
        <v>9.77</v>
      </c>
    </row>
    <row r="542" spans="1:6" x14ac:dyDescent="0.2">
      <c r="A542">
        <v>736787.60389999999</v>
      </c>
      <c r="B542">
        <v>-149.59677099999999</v>
      </c>
      <c r="C542">
        <v>-17.0154</v>
      </c>
      <c r="D542">
        <v>159.00080003540501</v>
      </c>
      <c r="E542">
        <v>30.1</v>
      </c>
      <c r="F542">
        <v>9.77</v>
      </c>
    </row>
    <row r="543" spans="1:6" x14ac:dyDescent="0.2">
      <c r="A543">
        <v>736787.60389999999</v>
      </c>
      <c r="B543">
        <v>-149.59675899999999</v>
      </c>
      <c r="C543">
        <v>-17.015412000000001</v>
      </c>
      <c r="D543">
        <v>159.00080003540501</v>
      </c>
      <c r="E543">
        <v>30.1</v>
      </c>
      <c r="F543">
        <v>9.77</v>
      </c>
    </row>
    <row r="544" spans="1:6" x14ac:dyDescent="0.2">
      <c r="A544">
        <v>736787.60389999999</v>
      </c>
      <c r="B544">
        <v>-149.59674999999999</v>
      </c>
      <c r="C544">
        <v>-17.015423999999999</v>
      </c>
      <c r="D544">
        <v>159.00080003540501</v>
      </c>
      <c r="E544">
        <v>30.1</v>
      </c>
      <c r="F544">
        <v>9.77</v>
      </c>
    </row>
    <row r="545" spans="1:6" x14ac:dyDescent="0.2">
      <c r="A545">
        <v>736787.60389999999</v>
      </c>
      <c r="B545">
        <v>-149.596744</v>
      </c>
      <c r="C545">
        <v>-17.015432000000001</v>
      </c>
      <c r="D545">
        <v>159.00080003540501</v>
      </c>
      <c r="E545">
        <v>30.1</v>
      </c>
      <c r="F545">
        <v>9.77</v>
      </c>
    </row>
    <row r="546" spans="1:6" x14ac:dyDescent="0.2">
      <c r="A546">
        <v>736787.60389999999</v>
      </c>
      <c r="B546">
        <v>-149.59673699999999</v>
      </c>
      <c r="C546">
        <v>-17.015438</v>
      </c>
      <c r="D546">
        <v>159.00080003540501</v>
      </c>
      <c r="E546">
        <v>30.1</v>
      </c>
      <c r="F546">
        <v>9.77</v>
      </c>
    </row>
    <row r="547" spans="1:6" x14ac:dyDescent="0.2">
      <c r="A547">
        <v>736787.60389999999</v>
      </c>
      <c r="B547">
        <v>-149.59672900000001</v>
      </c>
      <c r="C547">
        <v>-17.015452</v>
      </c>
      <c r="D547">
        <v>159.00080003540501</v>
      </c>
      <c r="E547">
        <v>30.1</v>
      </c>
      <c r="F547">
        <v>9.77</v>
      </c>
    </row>
    <row r="548" spans="1:6" x14ac:dyDescent="0.2">
      <c r="A548">
        <v>736787.60389999999</v>
      </c>
      <c r="B548">
        <v>-149.59672399999999</v>
      </c>
      <c r="C548">
        <v>-17.015461999999999</v>
      </c>
      <c r="D548">
        <v>159.00080003540501</v>
      </c>
      <c r="E548">
        <v>30.1</v>
      </c>
      <c r="F548">
        <v>9.77</v>
      </c>
    </row>
    <row r="549" spans="1:6" x14ac:dyDescent="0.2">
      <c r="A549">
        <v>736787.60400000005</v>
      </c>
      <c r="B549">
        <v>-149.59671800000001</v>
      </c>
      <c r="C549">
        <v>-17.015471999999999</v>
      </c>
      <c r="D549">
        <v>158.80000000000001</v>
      </c>
      <c r="E549">
        <v>30.1</v>
      </c>
      <c r="F549">
        <v>9.7527999887347097</v>
      </c>
    </row>
    <row r="550" spans="1:6" x14ac:dyDescent="0.2">
      <c r="A550">
        <v>736787.60400000005</v>
      </c>
      <c r="B550">
        <v>-149.596711</v>
      </c>
      <c r="C550">
        <v>-17.015481999999999</v>
      </c>
      <c r="D550">
        <v>158.80000000000001</v>
      </c>
      <c r="E550">
        <v>30.1</v>
      </c>
      <c r="F550">
        <v>9.7527999887347097</v>
      </c>
    </row>
    <row r="551" spans="1:6" x14ac:dyDescent="0.2">
      <c r="A551">
        <v>736787.60400000005</v>
      </c>
      <c r="B551">
        <v>-149.59669700000001</v>
      </c>
      <c r="C551">
        <v>-17.015494</v>
      </c>
      <c r="D551">
        <v>158.80000000000001</v>
      </c>
      <c r="E551">
        <v>30.1</v>
      </c>
      <c r="F551">
        <v>9.7527999887347097</v>
      </c>
    </row>
    <row r="552" spans="1:6" x14ac:dyDescent="0.2">
      <c r="A552">
        <v>736787.60400000005</v>
      </c>
      <c r="B552">
        <v>-149.596689</v>
      </c>
      <c r="C552">
        <v>-17.015502000000001</v>
      </c>
      <c r="D552">
        <v>158.80000000000001</v>
      </c>
      <c r="E552">
        <v>30.1</v>
      </c>
      <c r="F552">
        <v>9.7527999887347097</v>
      </c>
    </row>
    <row r="553" spans="1:6" x14ac:dyDescent="0.2">
      <c r="A553">
        <v>736787.60400000005</v>
      </c>
      <c r="B553">
        <v>-149.59667899999999</v>
      </c>
      <c r="C553">
        <v>-17.015516000000002</v>
      </c>
      <c r="D553">
        <v>158.80000000000001</v>
      </c>
      <c r="E553">
        <v>30.1</v>
      </c>
      <c r="F553">
        <v>9.7527999887347097</v>
      </c>
    </row>
    <row r="554" spans="1:6" x14ac:dyDescent="0.2">
      <c r="A554">
        <v>736787.60400000005</v>
      </c>
      <c r="B554">
        <v>-149.59667300000001</v>
      </c>
      <c r="C554">
        <v>-17.015526000000001</v>
      </c>
      <c r="D554">
        <v>158.80000000000001</v>
      </c>
      <c r="E554">
        <v>30.1</v>
      </c>
      <c r="F554">
        <v>9.7527999887347097</v>
      </c>
    </row>
    <row r="555" spans="1:6" x14ac:dyDescent="0.2">
      <c r="A555">
        <v>736787.6041</v>
      </c>
      <c r="B555">
        <v>-149.59666999999999</v>
      </c>
      <c r="C555">
        <v>-17.015536000000001</v>
      </c>
      <c r="D555">
        <v>158.789599942064</v>
      </c>
      <c r="E555">
        <v>30.1</v>
      </c>
      <c r="F555">
        <v>9.7544799971032194</v>
      </c>
    </row>
    <row r="556" spans="1:6" x14ac:dyDescent="0.2">
      <c r="A556">
        <v>736787.6041</v>
      </c>
      <c r="B556">
        <v>-149.596664</v>
      </c>
      <c r="C556">
        <v>-17.015542</v>
      </c>
      <c r="D556">
        <v>158.789599942064</v>
      </c>
      <c r="E556">
        <v>30.1</v>
      </c>
      <c r="F556">
        <v>9.7544799971032194</v>
      </c>
    </row>
    <row r="557" spans="1:6" x14ac:dyDescent="0.2">
      <c r="A557">
        <v>736787.6041</v>
      </c>
      <c r="B557">
        <v>-149.596656</v>
      </c>
      <c r="C557">
        <v>-17.015550000000001</v>
      </c>
      <c r="D557">
        <v>158.789599942064</v>
      </c>
      <c r="E557">
        <v>30.1</v>
      </c>
      <c r="F557">
        <v>9.7544799971032194</v>
      </c>
    </row>
    <row r="558" spans="1:6" x14ac:dyDescent="0.2">
      <c r="A558">
        <v>736787.6041</v>
      </c>
      <c r="B558">
        <v>-149.596645</v>
      </c>
      <c r="C558">
        <v>-17.015560000000001</v>
      </c>
      <c r="D558">
        <v>158.789599942064</v>
      </c>
      <c r="E558">
        <v>30.1</v>
      </c>
      <c r="F558">
        <v>9.7544799971032194</v>
      </c>
    </row>
    <row r="559" spans="1:6" x14ac:dyDescent="0.2">
      <c r="A559">
        <v>736787.6041</v>
      </c>
      <c r="B559">
        <v>-149.59664000000001</v>
      </c>
      <c r="C559">
        <v>-17.015567999999998</v>
      </c>
      <c r="D559">
        <v>158.789599942064</v>
      </c>
      <c r="E559">
        <v>30.1</v>
      </c>
      <c r="F559">
        <v>9.7544799971032194</v>
      </c>
    </row>
    <row r="560" spans="1:6" x14ac:dyDescent="0.2">
      <c r="A560">
        <v>736787.6041</v>
      </c>
      <c r="B560">
        <v>-149.596632</v>
      </c>
      <c r="C560">
        <v>-17.015578000000001</v>
      </c>
      <c r="D560">
        <v>158.789599942064</v>
      </c>
      <c r="E560">
        <v>30.1</v>
      </c>
      <c r="F560">
        <v>9.7544799971032194</v>
      </c>
    </row>
    <row r="561" spans="1:6" x14ac:dyDescent="0.2">
      <c r="A561">
        <v>736787.6041</v>
      </c>
      <c r="B561">
        <v>-149.59661700000001</v>
      </c>
      <c r="C561">
        <v>-17.015588000000001</v>
      </c>
      <c r="D561">
        <v>158.789599942064</v>
      </c>
      <c r="E561">
        <v>30.1</v>
      </c>
      <c r="F561">
        <v>9.7544799971032194</v>
      </c>
    </row>
    <row r="562" spans="1:6" x14ac:dyDescent="0.2">
      <c r="A562">
        <v>736787.60419999994</v>
      </c>
      <c r="B562">
        <v>-149.596609</v>
      </c>
      <c r="C562">
        <v>-17.015598000000001</v>
      </c>
      <c r="D562">
        <v>158.97039989700301</v>
      </c>
      <c r="E562">
        <v>30.1</v>
      </c>
      <c r="F562">
        <v>9.7635199948501601</v>
      </c>
    </row>
    <row r="563" spans="1:6" x14ac:dyDescent="0.2">
      <c r="A563">
        <v>736787.60419999994</v>
      </c>
      <c r="B563">
        <v>-149.59660299999999</v>
      </c>
      <c r="C563">
        <v>-17.015609000000001</v>
      </c>
      <c r="D563">
        <v>158.97039989700301</v>
      </c>
      <c r="E563">
        <v>30.1</v>
      </c>
      <c r="F563">
        <v>9.7635199948501601</v>
      </c>
    </row>
    <row r="564" spans="1:6" x14ac:dyDescent="0.2">
      <c r="A564">
        <v>736787.60419999994</v>
      </c>
      <c r="B564">
        <v>-149.596598</v>
      </c>
      <c r="C564">
        <v>-17.015619000000001</v>
      </c>
      <c r="D564">
        <v>158.97039989700301</v>
      </c>
      <c r="E564">
        <v>30.1</v>
      </c>
      <c r="F564">
        <v>9.7635199948501601</v>
      </c>
    </row>
    <row r="565" spans="1:6" x14ac:dyDescent="0.2">
      <c r="A565">
        <v>736787.60419999994</v>
      </c>
      <c r="B565">
        <v>-149.59659300000001</v>
      </c>
      <c r="C565">
        <v>-17.015626999999999</v>
      </c>
      <c r="D565">
        <v>158.97039989700301</v>
      </c>
      <c r="E565">
        <v>30.1</v>
      </c>
      <c r="F565">
        <v>9.7635199948501601</v>
      </c>
    </row>
    <row r="566" spans="1:6" x14ac:dyDescent="0.2">
      <c r="A566">
        <v>736787.60419999994</v>
      </c>
      <c r="B566">
        <v>-149.596585</v>
      </c>
      <c r="C566">
        <v>-17.015642</v>
      </c>
      <c r="D566">
        <v>158.97039989700301</v>
      </c>
      <c r="E566">
        <v>30.1</v>
      </c>
      <c r="F566">
        <v>9.7635199948501601</v>
      </c>
    </row>
    <row r="567" spans="1:6" x14ac:dyDescent="0.2">
      <c r="A567">
        <v>736787.60419999994</v>
      </c>
      <c r="B567">
        <v>-149.59657999999999</v>
      </c>
      <c r="C567">
        <v>-17.015650999999998</v>
      </c>
      <c r="D567">
        <v>158.97039989700301</v>
      </c>
      <c r="E567">
        <v>30.1</v>
      </c>
      <c r="F567">
        <v>9.7635199948501601</v>
      </c>
    </row>
    <row r="568" spans="1:6" x14ac:dyDescent="0.2">
      <c r="A568">
        <v>736787.60419999994</v>
      </c>
      <c r="B568">
        <v>-149.59656799999999</v>
      </c>
      <c r="C568">
        <v>-17.015668000000002</v>
      </c>
      <c r="D568">
        <v>158.97039989700301</v>
      </c>
      <c r="E568">
        <v>30.1</v>
      </c>
      <c r="F568">
        <v>9.7635199948501601</v>
      </c>
    </row>
    <row r="569" spans="1:6" x14ac:dyDescent="0.2">
      <c r="A569">
        <v>736787.60430000001</v>
      </c>
      <c r="B569">
        <v>-149.59656200000001</v>
      </c>
      <c r="C569">
        <v>-17.015675999999999</v>
      </c>
      <c r="D569">
        <v>158.938400090122</v>
      </c>
      <c r="E569">
        <v>30.1</v>
      </c>
      <c r="F569">
        <v>9.7619200045061092</v>
      </c>
    </row>
    <row r="570" spans="1:6" x14ac:dyDescent="0.2">
      <c r="A570">
        <v>736787.60430000001</v>
      </c>
      <c r="B570">
        <v>-149.596555</v>
      </c>
      <c r="C570">
        <v>-17.015689999999999</v>
      </c>
      <c r="D570">
        <v>158.938400090122</v>
      </c>
      <c r="E570">
        <v>30.1</v>
      </c>
      <c r="F570">
        <v>9.7619200045061092</v>
      </c>
    </row>
    <row r="571" spans="1:6" x14ac:dyDescent="0.2">
      <c r="A571">
        <v>736787.60430000001</v>
      </c>
      <c r="B571">
        <v>-149.59654900000001</v>
      </c>
      <c r="C571">
        <v>-17.015698</v>
      </c>
      <c r="D571">
        <v>158.938400090122</v>
      </c>
      <c r="E571">
        <v>30.1</v>
      </c>
      <c r="F571">
        <v>9.7619200045061092</v>
      </c>
    </row>
    <row r="572" spans="1:6" x14ac:dyDescent="0.2">
      <c r="A572">
        <v>736787.60430000001</v>
      </c>
      <c r="B572">
        <v>-149.59654499999999</v>
      </c>
      <c r="C572">
        <v>-17.015706999999999</v>
      </c>
      <c r="D572">
        <v>158.938400090122</v>
      </c>
      <c r="E572">
        <v>30.1</v>
      </c>
      <c r="F572">
        <v>9.7619200045061092</v>
      </c>
    </row>
    <row r="573" spans="1:6" x14ac:dyDescent="0.2">
      <c r="A573">
        <v>736787.60430000001</v>
      </c>
      <c r="B573">
        <v>-149.59653900000001</v>
      </c>
      <c r="C573">
        <v>-17.015715</v>
      </c>
      <c r="D573">
        <v>158.938400090122</v>
      </c>
      <c r="E573">
        <v>30.1</v>
      </c>
      <c r="F573">
        <v>9.7619200045061092</v>
      </c>
    </row>
    <row r="574" spans="1:6" x14ac:dyDescent="0.2">
      <c r="A574">
        <v>736787.60430000001</v>
      </c>
      <c r="B574">
        <v>-149.596531</v>
      </c>
      <c r="C574">
        <v>-17.015732</v>
      </c>
      <c r="D574">
        <v>158.938400090122</v>
      </c>
      <c r="E574">
        <v>30.1</v>
      </c>
      <c r="F574">
        <v>9.7619200045061092</v>
      </c>
    </row>
    <row r="575" spans="1:6" x14ac:dyDescent="0.2">
      <c r="A575">
        <v>736787.60439999995</v>
      </c>
      <c r="B575">
        <v>-149.59652500000001</v>
      </c>
      <c r="C575">
        <v>-17.015744999999999</v>
      </c>
      <c r="D575">
        <v>159.27919988412901</v>
      </c>
      <c r="E575">
        <v>30.1</v>
      </c>
      <c r="F575">
        <v>9.7852799922752407</v>
      </c>
    </row>
    <row r="576" spans="1:6" x14ac:dyDescent="0.2">
      <c r="A576">
        <v>736787.60439999995</v>
      </c>
      <c r="B576">
        <v>-149.596519</v>
      </c>
      <c r="C576">
        <v>-17.015754000000001</v>
      </c>
      <c r="D576">
        <v>159.27919988412901</v>
      </c>
      <c r="E576">
        <v>30.1</v>
      </c>
      <c r="F576">
        <v>9.7852799922752407</v>
      </c>
    </row>
    <row r="577" spans="1:6" x14ac:dyDescent="0.2">
      <c r="A577">
        <v>736787.60439999995</v>
      </c>
      <c r="B577">
        <v>-149.59651400000001</v>
      </c>
      <c r="C577">
        <v>-17.015763</v>
      </c>
      <c r="D577">
        <v>159.27919988412901</v>
      </c>
      <c r="E577">
        <v>30.1</v>
      </c>
      <c r="F577">
        <v>9.7852799922752407</v>
      </c>
    </row>
    <row r="578" spans="1:6" x14ac:dyDescent="0.2">
      <c r="A578">
        <v>736787.60439999995</v>
      </c>
      <c r="B578">
        <v>-149.59651199999999</v>
      </c>
      <c r="C578">
        <v>-17.015771999999998</v>
      </c>
      <c r="D578">
        <v>159.27919988412901</v>
      </c>
      <c r="E578">
        <v>30.1</v>
      </c>
      <c r="F578">
        <v>9.7852799922752407</v>
      </c>
    </row>
    <row r="579" spans="1:6" x14ac:dyDescent="0.2">
      <c r="A579">
        <v>736787.60439999995</v>
      </c>
      <c r="B579">
        <v>-149.59650500000001</v>
      </c>
      <c r="C579">
        <v>-17.015788000000001</v>
      </c>
      <c r="D579">
        <v>159.27919988412901</v>
      </c>
      <c r="E579">
        <v>30.1</v>
      </c>
      <c r="F579">
        <v>9.7852799922752407</v>
      </c>
    </row>
    <row r="580" spans="1:6" x14ac:dyDescent="0.2">
      <c r="A580">
        <v>736787.60439999995</v>
      </c>
      <c r="B580">
        <v>-149.59649899999999</v>
      </c>
      <c r="C580">
        <v>-17.015798</v>
      </c>
      <c r="D580">
        <v>159.27919988412901</v>
      </c>
      <c r="E580">
        <v>30.1</v>
      </c>
      <c r="F580">
        <v>9.7852799922752407</v>
      </c>
    </row>
    <row r="581" spans="1:6" x14ac:dyDescent="0.2">
      <c r="A581">
        <v>736787.60439999995</v>
      </c>
      <c r="B581">
        <v>-149.596495</v>
      </c>
      <c r="C581">
        <v>-17.015808</v>
      </c>
      <c r="D581">
        <v>159.27919988412901</v>
      </c>
      <c r="E581">
        <v>30.1</v>
      </c>
      <c r="F581">
        <v>9.7852799922752407</v>
      </c>
    </row>
    <row r="582" spans="1:6" x14ac:dyDescent="0.2">
      <c r="A582">
        <v>736787.60439999995</v>
      </c>
      <c r="B582">
        <v>-149.59649099999999</v>
      </c>
      <c r="C582">
        <v>-17.015817999999999</v>
      </c>
      <c r="D582">
        <v>159.27919988412901</v>
      </c>
      <c r="E582">
        <v>30.1</v>
      </c>
      <c r="F582">
        <v>9.7852799922752407</v>
      </c>
    </row>
    <row r="583" spans="1:6" x14ac:dyDescent="0.2">
      <c r="A583">
        <v>736787.60450000002</v>
      </c>
      <c r="B583">
        <v>-149.596487</v>
      </c>
      <c r="C583">
        <v>-17.015833000000001</v>
      </c>
      <c r="D583">
        <v>158.87199996781399</v>
      </c>
      <c r="E583">
        <v>30.1</v>
      </c>
      <c r="F583">
        <v>9.7635999983906796</v>
      </c>
    </row>
    <row r="584" spans="1:6" x14ac:dyDescent="0.2">
      <c r="A584">
        <v>736787.60450000002</v>
      </c>
      <c r="B584">
        <v>-149.59648300000001</v>
      </c>
      <c r="C584">
        <v>-17.015844999999999</v>
      </c>
      <c r="D584">
        <v>158.87199996781399</v>
      </c>
      <c r="E584">
        <v>30.1</v>
      </c>
      <c r="F584">
        <v>9.7635999983906796</v>
      </c>
    </row>
    <row r="585" spans="1:6" x14ac:dyDescent="0.2">
      <c r="A585">
        <v>736787.60450000002</v>
      </c>
      <c r="B585">
        <v>-149.59648200000001</v>
      </c>
      <c r="C585">
        <v>-17.015855999999999</v>
      </c>
      <c r="D585">
        <v>158.87199996781399</v>
      </c>
      <c r="E585">
        <v>30.1</v>
      </c>
      <c r="F585">
        <v>9.7635999983906796</v>
      </c>
    </row>
    <row r="586" spans="1:6" x14ac:dyDescent="0.2">
      <c r="A586">
        <v>736787.60450000002</v>
      </c>
      <c r="B586">
        <v>-149.596476</v>
      </c>
      <c r="C586">
        <v>-17.015867</v>
      </c>
      <c r="D586">
        <v>158.87199996781399</v>
      </c>
      <c r="E586">
        <v>30.1</v>
      </c>
      <c r="F586">
        <v>9.7635999983906796</v>
      </c>
    </row>
    <row r="587" spans="1:6" x14ac:dyDescent="0.2">
      <c r="A587">
        <v>736787.60450000002</v>
      </c>
      <c r="B587">
        <v>-149.59647000000001</v>
      </c>
      <c r="C587">
        <v>-17.015885000000001</v>
      </c>
      <c r="D587">
        <v>158.87199996781399</v>
      </c>
      <c r="E587">
        <v>30.1</v>
      </c>
      <c r="F587">
        <v>9.7635999983906796</v>
      </c>
    </row>
    <row r="588" spans="1:6" x14ac:dyDescent="0.2">
      <c r="A588">
        <v>736787.60450000002</v>
      </c>
      <c r="B588">
        <v>-149.59646900000001</v>
      </c>
      <c r="C588">
        <v>-17.015898</v>
      </c>
      <c r="D588">
        <v>158.87199996781399</v>
      </c>
      <c r="E588">
        <v>30.1</v>
      </c>
      <c r="F588">
        <v>9.7635999983906796</v>
      </c>
    </row>
    <row r="589" spans="1:6" x14ac:dyDescent="0.2">
      <c r="A589">
        <v>736787.60459999996</v>
      </c>
      <c r="B589">
        <v>-149.596464</v>
      </c>
      <c r="C589">
        <v>-17.015910999999999</v>
      </c>
      <c r="D589">
        <v>159.043999935627</v>
      </c>
      <c r="E589">
        <v>30.1</v>
      </c>
      <c r="F589">
        <v>9.7726399961376202</v>
      </c>
    </row>
    <row r="590" spans="1:6" x14ac:dyDescent="0.2">
      <c r="A590">
        <v>736787.60459999996</v>
      </c>
      <c r="B590">
        <v>-149.59646000000001</v>
      </c>
      <c r="C590">
        <v>-17.015920000000001</v>
      </c>
      <c r="D590">
        <v>159.043999935627</v>
      </c>
      <c r="E590">
        <v>30.1</v>
      </c>
      <c r="F590">
        <v>9.7726399961376202</v>
      </c>
    </row>
    <row r="591" spans="1:6" x14ac:dyDescent="0.2">
      <c r="A591">
        <v>736787.60459999996</v>
      </c>
      <c r="B591">
        <v>-149.59645</v>
      </c>
      <c r="C591">
        <v>-17.015934999999999</v>
      </c>
      <c r="D591">
        <v>159.043999935627</v>
      </c>
      <c r="E591">
        <v>30.1</v>
      </c>
      <c r="F591">
        <v>9.7726399961376202</v>
      </c>
    </row>
    <row r="592" spans="1:6" x14ac:dyDescent="0.2">
      <c r="A592">
        <v>736787.60459999996</v>
      </c>
      <c r="B592">
        <v>-149.59644299999999</v>
      </c>
      <c r="C592">
        <v>-17.01595</v>
      </c>
      <c r="D592">
        <v>159.043999935627</v>
      </c>
      <c r="E592">
        <v>30.1</v>
      </c>
      <c r="F592">
        <v>9.7726399961376202</v>
      </c>
    </row>
    <row r="593" spans="1:6" x14ac:dyDescent="0.2">
      <c r="A593">
        <v>736787.60459999996</v>
      </c>
      <c r="B593">
        <v>-149.59643700000001</v>
      </c>
      <c r="C593">
        <v>-17.01596</v>
      </c>
      <c r="D593">
        <v>159.043999935627</v>
      </c>
      <c r="E593">
        <v>30.1</v>
      </c>
      <c r="F593">
        <v>9.7726399961376202</v>
      </c>
    </row>
    <row r="594" spans="1:6" x14ac:dyDescent="0.2">
      <c r="A594">
        <v>736787.60470000003</v>
      </c>
      <c r="B594">
        <v>-149.59642400000001</v>
      </c>
      <c r="C594">
        <v>-17.015969999999999</v>
      </c>
      <c r="D594">
        <v>158.684000096559</v>
      </c>
      <c r="E594">
        <v>30.1</v>
      </c>
      <c r="F594">
        <v>9.7510400057935698</v>
      </c>
    </row>
    <row r="595" spans="1:6" x14ac:dyDescent="0.2">
      <c r="A595">
        <v>736787.60470000003</v>
      </c>
      <c r="B595">
        <v>-149.59641500000001</v>
      </c>
      <c r="C595">
        <v>-17.015979999999999</v>
      </c>
      <c r="D595">
        <v>158.684000096559</v>
      </c>
      <c r="E595">
        <v>30.1</v>
      </c>
      <c r="F595">
        <v>9.7510400057935698</v>
      </c>
    </row>
    <row r="596" spans="1:6" x14ac:dyDescent="0.2">
      <c r="A596">
        <v>736787.60470000003</v>
      </c>
      <c r="B596">
        <v>-149.596408</v>
      </c>
      <c r="C596">
        <v>-17.015989000000001</v>
      </c>
      <c r="D596">
        <v>158.684000096559</v>
      </c>
      <c r="E596">
        <v>30.1</v>
      </c>
      <c r="F596">
        <v>9.7510400057935698</v>
      </c>
    </row>
    <row r="597" spans="1:6" x14ac:dyDescent="0.2">
      <c r="A597">
        <v>736787.60470000003</v>
      </c>
      <c r="B597">
        <v>-149.596395</v>
      </c>
      <c r="C597">
        <v>-17.016003000000001</v>
      </c>
      <c r="D597">
        <v>158.684000096559</v>
      </c>
      <c r="E597">
        <v>30.1</v>
      </c>
      <c r="F597">
        <v>9.7510400057935698</v>
      </c>
    </row>
    <row r="598" spans="1:6" x14ac:dyDescent="0.2">
      <c r="A598">
        <v>736787.60470000003</v>
      </c>
      <c r="B598">
        <v>-149.596384</v>
      </c>
      <c r="C598">
        <v>-17.016013000000001</v>
      </c>
      <c r="D598">
        <v>158.684000096559</v>
      </c>
      <c r="E598">
        <v>30.1</v>
      </c>
      <c r="F598">
        <v>9.7510400057935698</v>
      </c>
    </row>
    <row r="599" spans="1:6" x14ac:dyDescent="0.2">
      <c r="A599">
        <v>736787.60470000003</v>
      </c>
      <c r="B599">
        <v>-149.59636900000001</v>
      </c>
      <c r="C599">
        <v>-17.016017999999999</v>
      </c>
      <c r="D599">
        <v>158.684000096559</v>
      </c>
      <c r="E599">
        <v>30.1</v>
      </c>
      <c r="F599">
        <v>9.7510400057935698</v>
      </c>
    </row>
    <row r="600" spans="1:6" x14ac:dyDescent="0.2">
      <c r="A600">
        <v>736787.60479999997</v>
      </c>
      <c r="B600">
        <v>-149.59635800000001</v>
      </c>
      <c r="C600">
        <v>-17.016027000000001</v>
      </c>
      <c r="D600">
        <v>158.28240002574901</v>
      </c>
      <c r="E600">
        <v>30.1</v>
      </c>
      <c r="F600">
        <v>9.7291200012874608</v>
      </c>
    </row>
    <row r="601" spans="1:6" x14ac:dyDescent="0.2">
      <c r="A601">
        <v>736787.60479999997</v>
      </c>
      <c r="B601">
        <v>-149.596351</v>
      </c>
      <c r="C601">
        <v>-17.016038000000002</v>
      </c>
      <c r="D601">
        <v>158.28240002574901</v>
      </c>
      <c r="E601">
        <v>30.1</v>
      </c>
      <c r="F601">
        <v>9.7291200012874608</v>
      </c>
    </row>
    <row r="602" spans="1:6" x14ac:dyDescent="0.2">
      <c r="A602">
        <v>736787.60479999997</v>
      </c>
      <c r="B602">
        <v>-149.59634500000001</v>
      </c>
      <c r="C602">
        <v>-17.016048999999999</v>
      </c>
      <c r="D602">
        <v>158.28240002574901</v>
      </c>
      <c r="E602">
        <v>30.1</v>
      </c>
      <c r="F602">
        <v>9.7291200012874608</v>
      </c>
    </row>
    <row r="603" spans="1:6" x14ac:dyDescent="0.2">
      <c r="A603">
        <v>736787.60479999997</v>
      </c>
      <c r="B603">
        <v>-149.596339</v>
      </c>
      <c r="C603">
        <v>-17.016058000000001</v>
      </c>
      <c r="D603">
        <v>158.28240002574901</v>
      </c>
      <c r="E603">
        <v>30.1</v>
      </c>
      <c r="F603">
        <v>9.7291200012874608</v>
      </c>
    </row>
    <row r="604" spans="1:6" x14ac:dyDescent="0.2">
      <c r="A604">
        <v>736787.60479999997</v>
      </c>
      <c r="B604">
        <v>-149.59633199999999</v>
      </c>
      <c r="C604">
        <v>-17.016067</v>
      </c>
      <c r="D604">
        <v>158.28240002574901</v>
      </c>
      <c r="E604">
        <v>30.1</v>
      </c>
      <c r="F604">
        <v>9.7291200012874608</v>
      </c>
    </row>
    <row r="605" spans="1:6" x14ac:dyDescent="0.2">
      <c r="A605">
        <v>736787.60479999997</v>
      </c>
      <c r="B605">
        <v>-149.59632500000001</v>
      </c>
      <c r="C605">
        <v>-17.016079999999999</v>
      </c>
      <c r="D605">
        <v>158.28240002574901</v>
      </c>
      <c r="E605">
        <v>30.1</v>
      </c>
      <c r="F605">
        <v>9.7291200012874608</v>
      </c>
    </row>
    <row r="606" spans="1:6" x14ac:dyDescent="0.2">
      <c r="A606">
        <v>736787.60479999997</v>
      </c>
      <c r="B606">
        <v>-149.596317</v>
      </c>
      <c r="C606">
        <v>-17.016090999999999</v>
      </c>
      <c r="D606">
        <v>158.28240002574901</v>
      </c>
      <c r="E606">
        <v>30.1</v>
      </c>
      <c r="F606">
        <v>9.7291200012874608</v>
      </c>
    </row>
    <row r="607" spans="1:6" x14ac:dyDescent="0.2">
      <c r="A607">
        <v>736787.60479999997</v>
      </c>
      <c r="B607">
        <v>-149.59630799999999</v>
      </c>
      <c r="C607">
        <v>-17.016100000000002</v>
      </c>
      <c r="D607">
        <v>158.28240002574901</v>
      </c>
      <c r="E607">
        <v>30.1</v>
      </c>
      <c r="F607">
        <v>9.7291200012874608</v>
      </c>
    </row>
    <row r="608" spans="1:6" x14ac:dyDescent="0.2">
      <c r="A608">
        <v>736787.60479999997</v>
      </c>
      <c r="B608">
        <v>-149.59630100000001</v>
      </c>
      <c r="C608">
        <v>-17.016107000000002</v>
      </c>
      <c r="D608">
        <v>158.28240002574901</v>
      </c>
      <c r="E608">
        <v>30.1</v>
      </c>
      <c r="F608">
        <v>9.7291200012874608</v>
      </c>
    </row>
    <row r="609" spans="1:6" x14ac:dyDescent="0.2">
      <c r="A609">
        <v>736787.60490000003</v>
      </c>
      <c r="B609">
        <v>-149.596293</v>
      </c>
      <c r="C609">
        <v>-17.016114000000002</v>
      </c>
      <c r="D609">
        <v>157.80000000000001</v>
      </c>
      <c r="E609">
        <v>30.1</v>
      </c>
      <c r="F609">
        <v>9.6999999999999993</v>
      </c>
    </row>
    <row r="610" spans="1:6" x14ac:dyDescent="0.2">
      <c r="A610">
        <v>736787.60490000003</v>
      </c>
      <c r="B610">
        <v>-149.596284</v>
      </c>
      <c r="C610">
        <v>-17.016127999999998</v>
      </c>
      <c r="D610">
        <v>157.80000000000001</v>
      </c>
      <c r="E610">
        <v>30.1</v>
      </c>
      <c r="F610">
        <v>9.6999999999999993</v>
      </c>
    </row>
    <row r="611" spans="1:6" x14ac:dyDescent="0.2">
      <c r="A611">
        <v>736787.60490000003</v>
      </c>
      <c r="B611">
        <v>-149.59627800000001</v>
      </c>
      <c r="C611">
        <v>-17.01614</v>
      </c>
      <c r="D611">
        <v>157.80000000000001</v>
      </c>
      <c r="E611">
        <v>30.1</v>
      </c>
      <c r="F611">
        <v>9.6999999999999993</v>
      </c>
    </row>
    <row r="612" spans="1:6" x14ac:dyDescent="0.2">
      <c r="A612">
        <v>736787.60490000003</v>
      </c>
      <c r="B612">
        <v>-149.59626399999999</v>
      </c>
      <c r="C612">
        <v>-17.016152000000002</v>
      </c>
      <c r="D612">
        <v>157.80000000000001</v>
      </c>
      <c r="E612">
        <v>30.1</v>
      </c>
      <c r="F612">
        <v>9.6999999999999993</v>
      </c>
    </row>
    <row r="613" spans="1:6" x14ac:dyDescent="0.2">
      <c r="A613">
        <v>736787.60490000003</v>
      </c>
      <c r="B613">
        <v>-149.59625600000001</v>
      </c>
      <c r="C613">
        <v>-17.016162999999999</v>
      </c>
      <c r="D613">
        <v>157.80000000000001</v>
      </c>
      <c r="E613">
        <v>30.1</v>
      </c>
      <c r="F613">
        <v>9.6999999999999993</v>
      </c>
    </row>
    <row r="614" spans="1:6" x14ac:dyDescent="0.2">
      <c r="A614">
        <v>736787.60490000003</v>
      </c>
      <c r="B614">
        <v>-149.59624500000001</v>
      </c>
      <c r="C614">
        <v>-17.016171</v>
      </c>
      <c r="D614">
        <v>157.80000000000001</v>
      </c>
      <c r="E614">
        <v>30.1</v>
      </c>
      <c r="F614">
        <v>9.6999999999999993</v>
      </c>
    </row>
    <row r="615" spans="1:6" x14ac:dyDescent="0.2">
      <c r="A615">
        <v>736787.60499999998</v>
      </c>
      <c r="B615">
        <v>-149.596237</v>
      </c>
      <c r="C615">
        <v>-17.016178</v>
      </c>
      <c r="D615">
        <v>156.5</v>
      </c>
      <c r="E615">
        <v>30.1</v>
      </c>
      <c r="F615">
        <v>9.6199999999999992</v>
      </c>
    </row>
    <row r="616" spans="1:6" x14ac:dyDescent="0.2">
      <c r="A616">
        <v>736787.60499999998</v>
      </c>
      <c r="B616">
        <v>-149.59623099999999</v>
      </c>
      <c r="C616">
        <v>-17.016190999999999</v>
      </c>
      <c r="D616">
        <v>156.5</v>
      </c>
      <c r="E616">
        <v>30.1</v>
      </c>
      <c r="F616">
        <v>9.6199999999999992</v>
      </c>
    </row>
    <row r="617" spans="1:6" x14ac:dyDescent="0.2">
      <c r="A617">
        <v>736787.60499999998</v>
      </c>
      <c r="B617">
        <v>-149.59622300000001</v>
      </c>
      <c r="C617">
        <v>-17.016203999999998</v>
      </c>
      <c r="D617">
        <v>156.5</v>
      </c>
      <c r="E617">
        <v>30.1</v>
      </c>
      <c r="F617">
        <v>9.6199999999999992</v>
      </c>
    </row>
    <row r="618" spans="1:6" x14ac:dyDescent="0.2">
      <c r="A618">
        <v>736787.60499999998</v>
      </c>
      <c r="B618">
        <v>-149.59621000000001</v>
      </c>
      <c r="C618">
        <v>-17.016214999999999</v>
      </c>
      <c r="D618">
        <v>156.5</v>
      </c>
      <c r="E618">
        <v>30.1</v>
      </c>
      <c r="F618">
        <v>9.6199999999999992</v>
      </c>
    </row>
    <row r="619" spans="1:6" x14ac:dyDescent="0.2">
      <c r="A619">
        <v>736787.60499999998</v>
      </c>
      <c r="B619">
        <v>-149.596203</v>
      </c>
      <c r="C619">
        <v>-17.016227000000001</v>
      </c>
      <c r="D619">
        <v>156.5</v>
      </c>
      <c r="E619">
        <v>30.1</v>
      </c>
      <c r="F619">
        <v>9.6199999999999992</v>
      </c>
    </row>
    <row r="620" spans="1:6" x14ac:dyDescent="0.2">
      <c r="A620">
        <v>736787.60499999998</v>
      </c>
      <c r="B620">
        <v>-149.59619900000001</v>
      </c>
      <c r="C620">
        <v>-17.016238999999999</v>
      </c>
      <c r="D620">
        <v>156.5</v>
      </c>
      <c r="E620">
        <v>30.1</v>
      </c>
      <c r="F620">
        <v>9.6199999999999992</v>
      </c>
    </row>
    <row r="621" spans="1:6" x14ac:dyDescent="0.2">
      <c r="A621">
        <v>736787.60499999998</v>
      </c>
      <c r="B621">
        <v>-149.596193</v>
      </c>
      <c r="C621">
        <v>-17.016247</v>
      </c>
      <c r="D621">
        <v>156.5</v>
      </c>
      <c r="E621">
        <v>30.1</v>
      </c>
      <c r="F621">
        <v>9.6199999999999992</v>
      </c>
    </row>
    <row r="622" spans="1:6" x14ac:dyDescent="0.2">
      <c r="A622">
        <v>736787.60499999998</v>
      </c>
      <c r="B622">
        <v>-149.59618499999999</v>
      </c>
      <c r="C622">
        <v>-17.016255999999998</v>
      </c>
      <c r="D622">
        <v>156.5</v>
      </c>
      <c r="E622">
        <v>30.1</v>
      </c>
      <c r="F622">
        <v>9.6199999999999992</v>
      </c>
    </row>
    <row r="623" spans="1:6" x14ac:dyDescent="0.2">
      <c r="A623">
        <v>736787.60510000004</v>
      </c>
      <c r="B623">
        <v>-149.59618399999999</v>
      </c>
      <c r="C623">
        <v>-17.016268</v>
      </c>
      <c r="D623">
        <v>157.30000000000001</v>
      </c>
      <c r="E623">
        <v>30.1</v>
      </c>
      <c r="F623">
        <v>9.67</v>
      </c>
    </row>
    <row r="624" spans="1:6" x14ac:dyDescent="0.2">
      <c r="A624">
        <v>736787.60510000004</v>
      </c>
      <c r="B624">
        <v>-149.596181</v>
      </c>
      <c r="C624">
        <v>-17.016280999999999</v>
      </c>
      <c r="D624">
        <v>157.30000000000001</v>
      </c>
      <c r="E624">
        <v>30.1</v>
      </c>
      <c r="F624">
        <v>9.67</v>
      </c>
    </row>
    <row r="625" spans="1:6" x14ac:dyDescent="0.2">
      <c r="A625">
        <v>736787.60510000004</v>
      </c>
      <c r="B625">
        <v>-149.59617800000001</v>
      </c>
      <c r="C625">
        <v>-17.016292</v>
      </c>
      <c r="D625">
        <v>157.30000000000001</v>
      </c>
      <c r="E625">
        <v>30.1</v>
      </c>
      <c r="F625">
        <v>9.67</v>
      </c>
    </row>
    <row r="626" spans="1:6" x14ac:dyDescent="0.2">
      <c r="A626">
        <v>736787.60510000004</v>
      </c>
      <c r="B626">
        <v>-149.59617399999999</v>
      </c>
      <c r="C626">
        <v>-17.016303000000001</v>
      </c>
      <c r="D626">
        <v>157.30000000000001</v>
      </c>
      <c r="E626">
        <v>30.1</v>
      </c>
      <c r="F626">
        <v>9.67</v>
      </c>
    </row>
    <row r="627" spans="1:6" x14ac:dyDescent="0.2">
      <c r="A627">
        <v>736787.60510000004</v>
      </c>
      <c r="B627">
        <v>-149.596169</v>
      </c>
      <c r="C627">
        <v>-17.016317000000001</v>
      </c>
      <c r="D627">
        <v>157.30000000000001</v>
      </c>
      <c r="E627">
        <v>30.1</v>
      </c>
      <c r="F627">
        <v>9.67</v>
      </c>
    </row>
    <row r="628" spans="1:6" x14ac:dyDescent="0.2">
      <c r="A628">
        <v>736787.60510000004</v>
      </c>
      <c r="B628">
        <v>-149.59616399999999</v>
      </c>
      <c r="C628">
        <v>-17.016325999999999</v>
      </c>
      <c r="D628">
        <v>157.30000000000001</v>
      </c>
      <c r="E628">
        <v>30.1</v>
      </c>
      <c r="F628">
        <v>9.67</v>
      </c>
    </row>
    <row r="629" spans="1:6" x14ac:dyDescent="0.2">
      <c r="A629">
        <v>736787.60510000004</v>
      </c>
      <c r="B629">
        <v>-149.59615500000001</v>
      </c>
      <c r="C629">
        <v>-17.016344</v>
      </c>
      <c r="D629">
        <v>157.30000000000001</v>
      </c>
      <c r="E629">
        <v>30.1</v>
      </c>
      <c r="F629">
        <v>9.67</v>
      </c>
    </row>
    <row r="630" spans="1:6" x14ac:dyDescent="0.2">
      <c r="A630">
        <v>736787.60519999999</v>
      </c>
      <c r="B630">
        <v>-149.59614999999999</v>
      </c>
      <c r="C630">
        <v>-17.016352999999999</v>
      </c>
      <c r="D630">
        <v>157.482400025749</v>
      </c>
      <c r="E630">
        <v>30.1</v>
      </c>
      <c r="F630">
        <v>9.6791200012874601</v>
      </c>
    </row>
    <row r="631" spans="1:6" x14ac:dyDescent="0.2">
      <c r="A631">
        <v>736787.60519999999</v>
      </c>
      <c r="B631">
        <v>-149.59614400000001</v>
      </c>
      <c r="C631">
        <v>-17.016359999999999</v>
      </c>
      <c r="D631">
        <v>157.482400025749</v>
      </c>
      <c r="E631">
        <v>30.1</v>
      </c>
      <c r="F631">
        <v>9.6791200012874601</v>
      </c>
    </row>
    <row r="632" spans="1:6" x14ac:dyDescent="0.2">
      <c r="A632">
        <v>736787.60519999999</v>
      </c>
      <c r="B632">
        <v>-149.59614099999999</v>
      </c>
      <c r="C632">
        <v>-17.016373999999999</v>
      </c>
      <c r="D632">
        <v>157.482400025749</v>
      </c>
      <c r="E632">
        <v>30.1</v>
      </c>
      <c r="F632">
        <v>9.6791200012874601</v>
      </c>
    </row>
    <row r="633" spans="1:6" x14ac:dyDescent="0.2">
      <c r="A633">
        <v>736787.60519999999</v>
      </c>
      <c r="B633">
        <v>-149.596135</v>
      </c>
      <c r="C633">
        <v>-17.016386000000001</v>
      </c>
      <c r="D633">
        <v>157.482400025749</v>
      </c>
      <c r="E633">
        <v>30.1</v>
      </c>
      <c r="F633">
        <v>9.6791200012874601</v>
      </c>
    </row>
    <row r="634" spans="1:6" x14ac:dyDescent="0.2">
      <c r="A634">
        <v>736787.60519999999</v>
      </c>
      <c r="B634">
        <v>-149.59612000000001</v>
      </c>
      <c r="C634">
        <v>-17.016397000000001</v>
      </c>
      <c r="D634">
        <v>157.482400025749</v>
      </c>
      <c r="E634">
        <v>30.1</v>
      </c>
      <c r="F634">
        <v>9.6791200012874601</v>
      </c>
    </row>
    <row r="635" spans="1:6" x14ac:dyDescent="0.2">
      <c r="A635">
        <v>736787.60519999999</v>
      </c>
      <c r="B635">
        <v>-149.59610900000001</v>
      </c>
      <c r="C635">
        <v>-17.016407999999998</v>
      </c>
      <c r="D635">
        <v>157.482400025749</v>
      </c>
      <c r="E635">
        <v>30.1</v>
      </c>
      <c r="F635">
        <v>9.6791200012874601</v>
      </c>
    </row>
    <row r="636" spans="1:6" x14ac:dyDescent="0.2">
      <c r="A636">
        <v>736787.60519999999</v>
      </c>
      <c r="B636">
        <v>-149.59609599999999</v>
      </c>
      <c r="C636">
        <v>-17.016418999999999</v>
      </c>
      <c r="D636">
        <v>157.482400025749</v>
      </c>
      <c r="E636">
        <v>30.1</v>
      </c>
      <c r="F636">
        <v>9.6791200012874601</v>
      </c>
    </row>
    <row r="637" spans="1:6" x14ac:dyDescent="0.2">
      <c r="A637">
        <v>736787.60519999999</v>
      </c>
      <c r="B637">
        <v>-149.59608600000001</v>
      </c>
      <c r="C637">
        <v>-17.016424000000001</v>
      </c>
      <c r="D637">
        <v>157.482400025749</v>
      </c>
      <c r="E637">
        <v>30.1</v>
      </c>
      <c r="F637">
        <v>9.6791200012874601</v>
      </c>
    </row>
    <row r="638" spans="1:6" x14ac:dyDescent="0.2">
      <c r="A638">
        <v>736787.60530000005</v>
      </c>
      <c r="B638">
        <v>-149.59607700000001</v>
      </c>
      <c r="C638">
        <v>-17.016428000000001</v>
      </c>
      <c r="D638">
        <v>157.615999533295</v>
      </c>
      <c r="E638">
        <v>30.1</v>
      </c>
      <c r="F638">
        <v>9.6789599719977009</v>
      </c>
    </row>
    <row r="639" spans="1:6" x14ac:dyDescent="0.2">
      <c r="A639">
        <v>736787.60530000005</v>
      </c>
      <c r="B639">
        <v>-149.59606500000001</v>
      </c>
      <c r="C639">
        <v>-17.016437</v>
      </c>
      <c r="D639">
        <v>157.615999533295</v>
      </c>
      <c r="E639">
        <v>30.1</v>
      </c>
      <c r="F639">
        <v>9.6789599719977009</v>
      </c>
    </row>
    <row r="640" spans="1:6" x14ac:dyDescent="0.2">
      <c r="A640">
        <v>736787.60530000005</v>
      </c>
      <c r="B640">
        <v>-149.59605300000001</v>
      </c>
      <c r="C640">
        <v>-17.016442999999999</v>
      </c>
      <c r="D640">
        <v>157.615999533295</v>
      </c>
      <c r="E640">
        <v>30.1</v>
      </c>
      <c r="F640">
        <v>9.6789599719977009</v>
      </c>
    </row>
    <row r="641" spans="1:6" x14ac:dyDescent="0.2">
      <c r="A641">
        <v>736787.60530000005</v>
      </c>
      <c r="B641">
        <v>-149.596023</v>
      </c>
      <c r="C641">
        <v>-17.016466000000001</v>
      </c>
      <c r="D641">
        <v>157.615999533295</v>
      </c>
      <c r="E641">
        <v>30.1</v>
      </c>
      <c r="F641">
        <v>9.6789599719977009</v>
      </c>
    </row>
    <row r="642" spans="1:6" x14ac:dyDescent="0.2">
      <c r="A642">
        <v>736787.60530000005</v>
      </c>
      <c r="B642">
        <v>-149.596014</v>
      </c>
      <c r="C642">
        <v>-17.016473999999999</v>
      </c>
      <c r="D642">
        <v>157.615999533295</v>
      </c>
      <c r="E642">
        <v>30.1</v>
      </c>
      <c r="F642">
        <v>9.6789599719977009</v>
      </c>
    </row>
    <row r="643" spans="1:6" x14ac:dyDescent="0.2">
      <c r="A643">
        <v>736787.60530000005</v>
      </c>
      <c r="B643">
        <v>-149.596003</v>
      </c>
      <c r="C643">
        <v>-17.016482</v>
      </c>
      <c r="D643">
        <v>157.615999533295</v>
      </c>
      <c r="E643">
        <v>30.1</v>
      </c>
      <c r="F643">
        <v>9.6789599719977009</v>
      </c>
    </row>
    <row r="644" spans="1:6" x14ac:dyDescent="0.2">
      <c r="A644">
        <v>736787.60530000005</v>
      </c>
      <c r="B644">
        <v>-149.596</v>
      </c>
      <c r="C644">
        <v>-17.016493000000001</v>
      </c>
      <c r="D644">
        <v>157.615999533295</v>
      </c>
      <c r="E644">
        <v>30.1</v>
      </c>
      <c r="F644">
        <v>9.6789599719977009</v>
      </c>
    </row>
    <row r="645" spans="1:6" x14ac:dyDescent="0.2">
      <c r="A645">
        <v>736787.6054</v>
      </c>
      <c r="B645">
        <v>-149.59599299999999</v>
      </c>
      <c r="C645">
        <v>-17.016504000000001</v>
      </c>
      <c r="D645">
        <v>156.80000000000001</v>
      </c>
      <c r="E645">
        <v>30.1</v>
      </c>
      <c r="F645">
        <v>9.6300000000000008</v>
      </c>
    </row>
    <row r="646" spans="1:6" x14ac:dyDescent="0.2">
      <c r="A646">
        <v>736787.6054</v>
      </c>
      <c r="B646">
        <v>-149.59598399999999</v>
      </c>
      <c r="C646">
        <v>-17.016514000000001</v>
      </c>
      <c r="D646">
        <v>156.80000000000001</v>
      </c>
      <c r="E646">
        <v>30.1</v>
      </c>
      <c r="F646">
        <v>9.6300000000000008</v>
      </c>
    </row>
    <row r="647" spans="1:6" x14ac:dyDescent="0.2">
      <c r="A647">
        <v>736787.6054</v>
      </c>
      <c r="B647">
        <v>-149.59598399999999</v>
      </c>
      <c r="C647">
        <v>-17.016528000000001</v>
      </c>
      <c r="D647">
        <v>156.80000000000001</v>
      </c>
      <c r="E647">
        <v>30.1</v>
      </c>
      <c r="F647">
        <v>9.6300000000000008</v>
      </c>
    </row>
    <row r="648" spans="1:6" x14ac:dyDescent="0.2">
      <c r="A648">
        <v>736787.6054</v>
      </c>
      <c r="B648">
        <v>-149.59598</v>
      </c>
      <c r="C648">
        <v>-17.016542000000001</v>
      </c>
      <c r="D648">
        <v>156.80000000000001</v>
      </c>
      <c r="E648">
        <v>30.1</v>
      </c>
      <c r="F648">
        <v>9.6300000000000008</v>
      </c>
    </row>
    <row r="649" spans="1:6" x14ac:dyDescent="0.2">
      <c r="A649">
        <v>736787.6054</v>
      </c>
      <c r="B649">
        <v>-149.59597400000001</v>
      </c>
      <c r="C649">
        <v>-17.016553999999999</v>
      </c>
      <c r="D649">
        <v>156.80000000000001</v>
      </c>
      <c r="E649">
        <v>30.1</v>
      </c>
      <c r="F649">
        <v>9.6300000000000008</v>
      </c>
    </row>
    <row r="650" spans="1:6" x14ac:dyDescent="0.2">
      <c r="A650">
        <v>736787.6054</v>
      </c>
      <c r="B650">
        <v>-149.59597099999999</v>
      </c>
      <c r="C650">
        <v>-17.016566999999998</v>
      </c>
      <c r="D650">
        <v>156.80000000000001</v>
      </c>
      <c r="E650">
        <v>30.1</v>
      </c>
      <c r="F650">
        <v>9.6300000000000008</v>
      </c>
    </row>
    <row r="651" spans="1:6" x14ac:dyDescent="0.2">
      <c r="A651">
        <v>736787.6054</v>
      </c>
      <c r="B651">
        <v>-149.59596500000001</v>
      </c>
      <c r="C651">
        <v>-17.016575</v>
      </c>
      <c r="D651">
        <v>156.80000000000001</v>
      </c>
      <c r="E651">
        <v>30.1</v>
      </c>
      <c r="F651">
        <v>9.6300000000000008</v>
      </c>
    </row>
    <row r="652" spans="1:6" x14ac:dyDescent="0.2">
      <c r="A652">
        <v>736787.6054</v>
      </c>
      <c r="B652">
        <v>-149.595956</v>
      </c>
      <c r="C652">
        <v>-17.016583000000001</v>
      </c>
      <c r="D652">
        <v>156.80000000000001</v>
      </c>
      <c r="E652">
        <v>30.1</v>
      </c>
      <c r="F652">
        <v>9.6300000000000008</v>
      </c>
    </row>
    <row r="653" spans="1:6" x14ac:dyDescent="0.2">
      <c r="A653">
        <v>736787.60549999995</v>
      </c>
      <c r="B653">
        <v>-149.595947</v>
      </c>
      <c r="C653">
        <v>-17.016594999999999</v>
      </c>
      <c r="D653">
        <v>157.69999999999999</v>
      </c>
      <c r="E653">
        <v>30.1</v>
      </c>
      <c r="F653">
        <v>9.68</v>
      </c>
    </row>
    <row r="654" spans="1:6" x14ac:dyDescent="0.2">
      <c r="A654">
        <v>736787.60549999995</v>
      </c>
      <c r="B654">
        <v>-149.59594000000001</v>
      </c>
      <c r="C654">
        <v>-17.016601999999999</v>
      </c>
      <c r="D654">
        <v>157.69999999999999</v>
      </c>
      <c r="E654">
        <v>30.1</v>
      </c>
      <c r="F654">
        <v>9.68</v>
      </c>
    </row>
    <row r="655" spans="1:6" x14ac:dyDescent="0.2">
      <c r="A655">
        <v>736787.60549999995</v>
      </c>
      <c r="B655">
        <v>-149.59593100000001</v>
      </c>
      <c r="C655">
        <v>-17.016608999999999</v>
      </c>
      <c r="D655">
        <v>157.69999999999999</v>
      </c>
      <c r="E655">
        <v>30.1</v>
      </c>
      <c r="F655">
        <v>9.68</v>
      </c>
    </row>
    <row r="656" spans="1:6" x14ac:dyDescent="0.2">
      <c r="A656">
        <v>736787.60549999995</v>
      </c>
      <c r="B656">
        <v>-149.595922</v>
      </c>
      <c r="C656">
        <v>-17.016615000000002</v>
      </c>
      <c r="D656">
        <v>157.69999999999999</v>
      </c>
      <c r="E656">
        <v>30.1</v>
      </c>
      <c r="F656">
        <v>9.68</v>
      </c>
    </row>
    <row r="657" spans="1:6" x14ac:dyDescent="0.2">
      <c r="A657">
        <v>736787.60549999995</v>
      </c>
      <c r="B657">
        <v>-149.595913</v>
      </c>
      <c r="C657">
        <v>-17.016621000000001</v>
      </c>
      <c r="D657">
        <v>157.69999999999999</v>
      </c>
      <c r="E657">
        <v>30.1</v>
      </c>
      <c r="F657">
        <v>9.68</v>
      </c>
    </row>
    <row r="658" spans="1:6" x14ac:dyDescent="0.2">
      <c r="A658">
        <v>736787.60549999995</v>
      </c>
      <c r="B658">
        <v>-149.59589800000001</v>
      </c>
      <c r="C658">
        <v>-17.016636999999999</v>
      </c>
      <c r="D658">
        <v>157.69999999999999</v>
      </c>
      <c r="E658">
        <v>30.1</v>
      </c>
      <c r="F658">
        <v>9.68</v>
      </c>
    </row>
    <row r="659" spans="1:6" x14ac:dyDescent="0.2">
      <c r="A659">
        <v>736787.60549999995</v>
      </c>
      <c r="B659">
        <v>-149.59588400000001</v>
      </c>
      <c r="C659">
        <v>-17.016646999999999</v>
      </c>
      <c r="D659">
        <v>157.69999999999999</v>
      </c>
      <c r="E659">
        <v>30.1</v>
      </c>
      <c r="F659">
        <v>9.68</v>
      </c>
    </row>
    <row r="660" spans="1:6" x14ac:dyDescent="0.2">
      <c r="A660">
        <v>736787.60560000001</v>
      </c>
      <c r="B660">
        <v>-149.59587500000001</v>
      </c>
      <c r="C660">
        <v>-17.016656000000001</v>
      </c>
      <c r="D660">
        <v>157.026399961376</v>
      </c>
      <c r="E660">
        <v>30.136800019311899</v>
      </c>
      <c r="F660">
        <v>9.6363199980688101</v>
      </c>
    </row>
    <row r="661" spans="1:6" x14ac:dyDescent="0.2">
      <c r="A661">
        <v>736787.60560000001</v>
      </c>
      <c r="B661">
        <v>-149.59586300000001</v>
      </c>
      <c r="C661">
        <v>-17.016663000000001</v>
      </c>
      <c r="D661">
        <v>157.026399961376</v>
      </c>
      <c r="E661">
        <v>30.136800019311899</v>
      </c>
      <c r="F661">
        <v>9.6363199980688101</v>
      </c>
    </row>
    <row r="662" spans="1:6" x14ac:dyDescent="0.2">
      <c r="A662">
        <v>736787.60560000001</v>
      </c>
      <c r="B662">
        <v>-149.59584799999999</v>
      </c>
      <c r="C662">
        <v>-17.016670999999999</v>
      </c>
      <c r="D662">
        <v>157.026399961376</v>
      </c>
      <c r="E662">
        <v>30.136800019311899</v>
      </c>
      <c r="F662">
        <v>9.6363199980688101</v>
      </c>
    </row>
    <row r="663" spans="1:6" x14ac:dyDescent="0.2">
      <c r="A663">
        <v>736787.60560000001</v>
      </c>
      <c r="B663">
        <v>-149.59583799999999</v>
      </c>
      <c r="C663">
        <v>-17.016683</v>
      </c>
      <c r="D663">
        <v>157.026399961376</v>
      </c>
      <c r="E663">
        <v>30.136800019311899</v>
      </c>
      <c r="F663">
        <v>9.6363199980688101</v>
      </c>
    </row>
    <row r="664" spans="1:6" x14ac:dyDescent="0.2">
      <c r="A664">
        <v>736787.60560000001</v>
      </c>
      <c r="B664">
        <v>-149.59582900000001</v>
      </c>
      <c r="C664">
        <v>-17.016693</v>
      </c>
      <c r="D664">
        <v>157.026399961376</v>
      </c>
      <c r="E664">
        <v>30.136800019311899</v>
      </c>
      <c r="F664">
        <v>9.6363199980688101</v>
      </c>
    </row>
    <row r="665" spans="1:6" x14ac:dyDescent="0.2">
      <c r="A665">
        <v>736787.60560000001</v>
      </c>
      <c r="B665">
        <v>-149.59582</v>
      </c>
      <c r="C665">
        <v>-17.016698000000002</v>
      </c>
      <c r="D665">
        <v>157.026399961376</v>
      </c>
      <c r="E665">
        <v>30.136800019311899</v>
      </c>
      <c r="F665">
        <v>9.6363199980688101</v>
      </c>
    </row>
    <row r="666" spans="1:6" x14ac:dyDescent="0.2">
      <c r="A666">
        <v>736787.60560000001</v>
      </c>
      <c r="B666">
        <v>-149.595809</v>
      </c>
      <c r="C666">
        <v>-17.016705000000002</v>
      </c>
      <c r="D666">
        <v>157.026399961376</v>
      </c>
      <c r="E666">
        <v>30.136800019311899</v>
      </c>
      <c r="F666">
        <v>9.6363199980688101</v>
      </c>
    </row>
    <row r="667" spans="1:6" x14ac:dyDescent="0.2">
      <c r="A667">
        <v>736787.60560000001</v>
      </c>
      <c r="B667">
        <v>-149.595797</v>
      </c>
      <c r="C667">
        <v>-17.016715999999999</v>
      </c>
      <c r="D667">
        <v>157.026399961376</v>
      </c>
      <c r="E667">
        <v>30.136800019311899</v>
      </c>
      <c r="F667">
        <v>9.6363199980688101</v>
      </c>
    </row>
    <row r="668" spans="1:6" x14ac:dyDescent="0.2">
      <c r="A668">
        <v>736787.60569999996</v>
      </c>
      <c r="B668">
        <v>-149.59578500000001</v>
      </c>
      <c r="C668">
        <v>-17.016724</v>
      </c>
      <c r="D668">
        <v>156.9</v>
      </c>
      <c r="E668">
        <v>30.2</v>
      </c>
      <c r="F668">
        <v>9.6300000000000008</v>
      </c>
    </row>
    <row r="669" spans="1:6" x14ac:dyDescent="0.2">
      <c r="A669">
        <v>736787.60569999996</v>
      </c>
      <c r="B669">
        <v>-149.59577300000001</v>
      </c>
      <c r="C669">
        <v>-17.016731</v>
      </c>
      <c r="D669">
        <v>156.9</v>
      </c>
      <c r="E669">
        <v>30.2</v>
      </c>
      <c r="F669">
        <v>9.6300000000000008</v>
      </c>
    </row>
    <row r="670" spans="1:6" x14ac:dyDescent="0.2">
      <c r="A670">
        <v>736787.60569999996</v>
      </c>
      <c r="B670">
        <v>-149.595764</v>
      </c>
      <c r="C670">
        <v>-17.016743999999999</v>
      </c>
      <c r="D670">
        <v>156.9</v>
      </c>
      <c r="E670">
        <v>30.2</v>
      </c>
      <c r="F670">
        <v>9.6300000000000008</v>
      </c>
    </row>
    <row r="671" spans="1:6" x14ac:dyDescent="0.2">
      <c r="A671">
        <v>736787.60569999996</v>
      </c>
      <c r="B671">
        <v>-149.595753</v>
      </c>
      <c r="C671">
        <v>-17.016753999999999</v>
      </c>
      <c r="D671">
        <v>156.9</v>
      </c>
      <c r="E671">
        <v>30.2</v>
      </c>
      <c r="F671">
        <v>9.6300000000000008</v>
      </c>
    </row>
    <row r="672" spans="1:6" x14ac:dyDescent="0.2">
      <c r="A672">
        <v>736787.60569999996</v>
      </c>
      <c r="B672">
        <v>-149.59573700000001</v>
      </c>
      <c r="C672">
        <v>-17.016760999999999</v>
      </c>
      <c r="D672">
        <v>156.9</v>
      </c>
      <c r="E672">
        <v>30.2</v>
      </c>
      <c r="F672">
        <v>9.6300000000000008</v>
      </c>
    </row>
    <row r="673" spans="1:6" x14ac:dyDescent="0.2">
      <c r="A673">
        <v>736787.60569999996</v>
      </c>
      <c r="B673">
        <v>-149.59572600000001</v>
      </c>
      <c r="C673">
        <v>-17.016769</v>
      </c>
      <c r="D673">
        <v>156.9</v>
      </c>
      <c r="E673">
        <v>30.2</v>
      </c>
      <c r="F673">
        <v>9.6300000000000008</v>
      </c>
    </row>
    <row r="674" spans="1:6" x14ac:dyDescent="0.2">
      <c r="A674">
        <v>736787.60569999996</v>
      </c>
      <c r="B674">
        <v>-149.59571600000001</v>
      </c>
      <c r="C674">
        <v>-17.016774999999999</v>
      </c>
      <c r="D674">
        <v>156.9</v>
      </c>
      <c r="E674">
        <v>30.2</v>
      </c>
      <c r="F674">
        <v>9.6300000000000008</v>
      </c>
    </row>
    <row r="675" spans="1:6" x14ac:dyDescent="0.2">
      <c r="A675">
        <v>736787.60580000002</v>
      </c>
      <c r="B675">
        <v>-149.595707</v>
      </c>
      <c r="C675">
        <v>-17.016784000000001</v>
      </c>
      <c r="D675">
        <v>156.73519994850199</v>
      </c>
      <c r="E675">
        <v>30.2</v>
      </c>
      <c r="F675">
        <v>9.6135199948501597</v>
      </c>
    </row>
    <row r="676" spans="1:6" x14ac:dyDescent="0.2">
      <c r="A676">
        <v>736787.60580000002</v>
      </c>
      <c r="B676">
        <v>-149.59569999999999</v>
      </c>
      <c r="C676">
        <v>-17.016795999999999</v>
      </c>
      <c r="D676">
        <v>156.73519994850199</v>
      </c>
      <c r="E676">
        <v>30.2</v>
      </c>
      <c r="F676">
        <v>9.6135199948501597</v>
      </c>
    </row>
    <row r="677" spans="1:6" x14ac:dyDescent="0.2">
      <c r="A677">
        <v>736787.60580000002</v>
      </c>
      <c r="B677">
        <v>-149.59569099999999</v>
      </c>
      <c r="C677">
        <v>-17.016804</v>
      </c>
      <c r="D677">
        <v>156.73519994850199</v>
      </c>
      <c r="E677">
        <v>30.2</v>
      </c>
      <c r="F677">
        <v>9.6135199948501597</v>
      </c>
    </row>
    <row r="678" spans="1:6" x14ac:dyDescent="0.2">
      <c r="A678">
        <v>736787.60580000002</v>
      </c>
      <c r="B678">
        <v>-149.59568200000001</v>
      </c>
      <c r="C678">
        <v>-17.016808999999999</v>
      </c>
      <c r="D678">
        <v>156.73519994850199</v>
      </c>
      <c r="E678">
        <v>30.2</v>
      </c>
      <c r="F678">
        <v>9.6135199948501597</v>
      </c>
    </row>
    <row r="679" spans="1:6" x14ac:dyDescent="0.2">
      <c r="A679">
        <v>736787.60580000002</v>
      </c>
      <c r="B679">
        <v>-149.595676</v>
      </c>
      <c r="C679">
        <v>-17.016819000000002</v>
      </c>
      <c r="D679">
        <v>156.73519994850199</v>
      </c>
      <c r="E679">
        <v>30.2</v>
      </c>
      <c r="F679">
        <v>9.6135199948501597</v>
      </c>
    </row>
    <row r="680" spans="1:6" x14ac:dyDescent="0.2">
      <c r="A680">
        <v>736787.60580000002</v>
      </c>
      <c r="B680">
        <v>-149.59566799999999</v>
      </c>
      <c r="C680">
        <v>-17.016831</v>
      </c>
      <c r="D680">
        <v>156.73519994850199</v>
      </c>
      <c r="E680">
        <v>30.2</v>
      </c>
      <c r="F680">
        <v>9.6135199948501597</v>
      </c>
    </row>
    <row r="681" spans="1:6" x14ac:dyDescent="0.2">
      <c r="A681">
        <v>736787.60580000002</v>
      </c>
      <c r="B681">
        <v>-149.59566100000001</v>
      </c>
      <c r="C681">
        <v>-17.016839000000001</v>
      </c>
      <c r="D681">
        <v>156.73519994850199</v>
      </c>
      <c r="E681">
        <v>30.2</v>
      </c>
      <c r="F681">
        <v>9.6135199948501597</v>
      </c>
    </row>
    <row r="682" spans="1:6" x14ac:dyDescent="0.2">
      <c r="A682">
        <v>736787.60580000002</v>
      </c>
      <c r="B682">
        <v>-149.595653</v>
      </c>
      <c r="C682">
        <v>-17.016848</v>
      </c>
      <c r="D682">
        <v>156.73519994850199</v>
      </c>
      <c r="E682">
        <v>30.2</v>
      </c>
      <c r="F682">
        <v>9.6135199948501597</v>
      </c>
    </row>
    <row r="683" spans="1:6" x14ac:dyDescent="0.2">
      <c r="A683">
        <v>736787.60580000002</v>
      </c>
      <c r="B683">
        <v>-149.59564900000001</v>
      </c>
      <c r="C683">
        <v>-17.016860999999999</v>
      </c>
      <c r="D683">
        <v>156.73519994850199</v>
      </c>
      <c r="E683">
        <v>30.2</v>
      </c>
      <c r="F683">
        <v>9.6135199948501597</v>
      </c>
    </row>
    <row r="684" spans="1:6" x14ac:dyDescent="0.2">
      <c r="A684">
        <v>736787.60589999997</v>
      </c>
      <c r="B684">
        <v>-149.59564499999999</v>
      </c>
      <c r="C684">
        <v>-17.016874999999999</v>
      </c>
      <c r="D684">
        <v>156.97599969422799</v>
      </c>
      <c r="E684">
        <v>30.2</v>
      </c>
      <c r="F684">
        <v>9.62655998165366</v>
      </c>
    </row>
    <row r="685" spans="1:6" x14ac:dyDescent="0.2">
      <c r="A685">
        <v>736787.60589999997</v>
      </c>
      <c r="B685">
        <v>-149.59563800000001</v>
      </c>
      <c r="C685">
        <v>-17.016884999999998</v>
      </c>
      <c r="D685">
        <v>156.97599969422799</v>
      </c>
      <c r="E685">
        <v>30.2</v>
      </c>
      <c r="F685">
        <v>9.62655998165366</v>
      </c>
    </row>
    <row r="686" spans="1:6" x14ac:dyDescent="0.2">
      <c r="A686">
        <v>736787.60589999997</v>
      </c>
      <c r="B686">
        <v>-149.59563199999999</v>
      </c>
      <c r="C686">
        <v>-17.016895000000002</v>
      </c>
      <c r="D686">
        <v>156.97599969422799</v>
      </c>
      <c r="E686">
        <v>30.2</v>
      </c>
      <c r="F686">
        <v>9.62655998165366</v>
      </c>
    </row>
    <row r="687" spans="1:6" x14ac:dyDescent="0.2">
      <c r="A687">
        <v>736787.60589999997</v>
      </c>
      <c r="B687">
        <v>-149.59562700000001</v>
      </c>
      <c r="C687">
        <v>-17.016909999999999</v>
      </c>
      <c r="D687">
        <v>156.97599969422799</v>
      </c>
      <c r="E687">
        <v>30.2</v>
      </c>
      <c r="F687">
        <v>9.62655998165366</v>
      </c>
    </row>
    <row r="688" spans="1:6" x14ac:dyDescent="0.2">
      <c r="A688">
        <v>736787.60589999997</v>
      </c>
      <c r="B688">
        <v>-149.59562099999999</v>
      </c>
      <c r="C688">
        <v>-17.016923999999999</v>
      </c>
      <c r="D688">
        <v>156.97599969422799</v>
      </c>
      <c r="E688">
        <v>30.2</v>
      </c>
      <c r="F688">
        <v>9.62655998165366</v>
      </c>
    </row>
    <row r="689" spans="1:6" x14ac:dyDescent="0.2">
      <c r="A689">
        <v>736787.60589999997</v>
      </c>
      <c r="B689">
        <v>-149.59561299999999</v>
      </c>
      <c r="C689">
        <v>-17.016929999999999</v>
      </c>
      <c r="D689">
        <v>156.97599969422799</v>
      </c>
      <c r="E689">
        <v>30.2</v>
      </c>
      <c r="F689">
        <v>9.62655998165366</v>
      </c>
    </row>
    <row r="690" spans="1:6" x14ac:dyDescent="0.2">
      <c r="A690">
        <v>736787.60589999997</v>
      </c>
      <c r="B690">
        <v>-149.595606</v>
      </c>
      <c r="C690">
        <v>-17.016936000000001</v>
      </c>
      <c r="D690">
        <v>156.97599969422799</v>
      </c>
      <c r="E690">
        <v>30.2</v>
      </c>
      <c r="F690">
        <v>9.62655998165366</v>
      </c>
    </row>
    <row r="691" spans="1:6" x14ac:dyDescent="0.2">
      <c r="A691">
        <v>736787.60589999997</v>
      </c>
      <c r="B691">
        <v>-149.595598</v>
      </c>
      <c r="C691">
        <v>-17.016946000000001</v>
      </c>
      <c r="D691">
        <v>156.97599969422799</v>
      </c>
      <c r="E691">
        <v>30.2</v>
      </c>
      <c r="F691">
        <v>9.62655998165366</v>
      </c>
    </row>
    <row r="692" spans="1:6" x14ac:dyDescent="0.2">
      <c r="A692">
        <v>736787.60589999997</v>
      </c>
      <c r="B692">
        <v>-149.59559300000001</v>
      </c>
      <c r="C692">
        <v>-17.016957999999999</v>
      </c>
      <c r="D692">
        <v>156.97599969422799</v>
      </c>
      <c r="E692">
        <v>30.2</v>
      </c>
      <c r="F692">
        <v>9.62655998165366</v>
      </c>
    </row>
    <row r="693" spans="1:6" x14ac:dyDescent="0.2">
      <c r="A693">
        <v>736787.60600000003</v>
      </c>
      <c r="B693">
        <v>-149.595584</v>
      </c>
      <c r="C693">
        <v>-17.016967000000001</v>
      </c>
      <c r="D693">
        <v>157.5</v>
      </c>
      <c r="E693">
        <v>30.2</v>
      </c>
      <c r="F693">
        <v>9.6571999967813493</v>
      </c>
    </row>
    <row r="694" spans="1:6" x14ac:dyDescent="0.2">
      <c r="A694">
        <v>736787.60600000003</v>
      </c>
      <c r="B694">
        <v>-149.59557699999999</v>
      </c>
      <c r="C694">
        <v>-17.016974999999999</v>
      </c>
      <c r="D694">
        <v>157.5</v>
      </c>
      <c r="E694">
        <v>30.2</v>
      </c>
      <c r="F694">
        <v>9.6571999967813493</v>
      </c>
    </row>
    <row r="695" spans="1:6" x14ac:dyDescent="0.2">
      <c r="A695">
        <v>736787.60600000003</v>
      </c>
      <c r="B695">
        <v>-149.595573</v>
      </c>
      <c r="C695">
        <v>-17.016984999999998</v>
      </c>
      <c r="D695">
        <v>157.5</v>
      </c>
      <c r="E695">
        <v>30.2</v>
      </c>
      <c r="F695">
        <v>9.6571999967813493</v>
      </c>
    </row>
    <row r="696" spans="1:6" x14ac:dyDescent="0.2">
      <c r="A696">
        <v>736787.60600000003</v>
      </c>
      <c r="B696">
        <v>-149.59557000000001</v>
      </c>
      <c r="C696">
        <v>-17.016995000000001</v>
      </c>
      <c r="D696">
        <v>157.5</v>
      </c>
      <c r="E696">
        <v>30.2</v>
      </c>
      <c r="F696">
        <v>9.6571999967813493</v>
      </c>
    </row>
    <row r="697" spans="1:6" x14ac:dyDescent="0.2">
      <c r="A697">
        <v>736787.60600000003</v>
      </c>
      <c r="B697">
        <v>-149.59555499999999</v>
      </c>
      <c r="C697">
        <v>-17.017008000000001</v>
      </c>
      <c r="D697">
        <v>157.5</v>
      </c>
      <c r="E697">
        <v>30.2</v>
      </c>
      <c r="F697">
        <v>9.6571999967813493</v>
      </c>
    </row>
    <row r="698" spans="1:6" x14ac:dyDescent="0.2">
      <c r="A698">
        <v>736787.60600000003</v>
      </c>
      <c r="B698">
        <v>-149.59554800000001</v>
      </c>
      <c r="C698">
        <v>-17.017016000000002</v>
      </c>
      <c r="D698">
        <v>157.5</v>
      </c>
      <c r="E698">
        <v>30.2</v>
      </c>
      <c r="F698">
        <v>9.6571999967813493</v>
      </c>
    </row>
    <row r="699" spans="1:6" x14ac:dyDescent="0.2">
      <c r="A699">
        <v>736787.60609999998</v>
      </c>
      <c r="B699">
        <v>-149.59553500000001</v>
      </c>
      <c r="C699">
        <v>-17.017023999999999</v>
      </c>
      <c r="D699">
        <v>157.90880038945701</v>
      </c>
      <c r="E699">
        <v>30.200800035405098</v>
      </c>
      <c r="F699">
        <v>9.6804800212430795</v>
      </c>
    </row>
    <row r="700" spans="1:6" x14ac:dyDescent="0.2">
      <c r="A700">
        <v>736787.60609999998</v>
      </c>
      <c r="B700">
        <v>-149.59552199999999</v>
      </c>
      <c r="C700">
        <v>-17.017030999999999</v>
      </c>
      <c r="D700">
        <v>157.90880038945701</v>
      </c>
      <c r="E700">
        <v>30.200800035405098</v>
      </c>
      <c r="F700">
        <v>9.6804800212430795</v>
      </c>
    </row>
    <row r="701" spans="1:6" x14ac:dyDescent="0.2">
      <c r="A701">
        <v>736787.60609999998</v>
      </c>
      <c r="B701">
        <v>-149.59550899999999</v>
      </c>
      <c r="C701">
        <v>-17.017039</v>
      </c>
      <c r="D701">
        <v>157.90880038945701</v>
      </c>
      <c r="E701">
        <v>30.200800035405098</v>
      </c>
      <c r="F701">
        <v>9.6804800212430795</v>
      </c>
    </row>
    <row r="702" spans="1:6" x14ac:dyDescent="0.2">
      <c r="A702">
        <v>736787.60609999998</v>
      </c>
      <c r="B702">
        <v>-149.59549799999999</v>
      </c>
      <c r="C702">
        <v>-17.017040999999999</v>
      </c>
      <c r="D702">
        <v>157.90880038945701</v>
      </c>
      <c r="E702">
        <v>30.200800035405098</v>
      </c>
      <c r="F702">
        <v>9.6804800212430795</v>
      </c>
    </row>
    <row r="703" spans="1:6" x14ac:dyDescent="0.2">
      <c r="A703">
        <v>736787.60620000004</v>
      </c>
      <c r="B703">
        <v>-149.59548899999999</v>
      </c>
      <c r="C703">
        <v>-17.017045</v>
      </c>
      <c r="D703">
        <v>160.76640092697099</v>
      </c>
      <c r="E703">
        <v>30.3</v>
      </c>
      <c r="F703">
        <v>9.8430400540733007</v>
      </c>
    </row>
    <row r="704" spans="1:6" x14ac:dyDescent="0.2">
      <c r="A704">
        <v>736787.60620000004</v>
      </c>
      <c r="B704">
        <v>-149.59547900000001</v>
      </c>
      <c r="C704">
        <v>-17.017049</v>
      </c>
      <c r="D704">
        <v>160.76640092697099</v>
      </c>
      <c r="E704">
        <v>30.3</v>
      </c>
      <c r="F704">
        <v>9.8430400540733007</v>
      </c>
    </row>
    <row r="705" spans="1:6" x14ac:dyDescent="0.2">
      <c r="A705">
        <v>736787.60620000004</v>
      </c>
      <c r="B705">
        <v>-149.59546800000001</v>
      </c>
      <c r="C705">
        <v>-17.017050000000001</v>
      </c>
      <c r="D705">
        <v>160.76640092697099</v>
      </c>
      <c r="E705">
        <v>30.3</v>
      </c>
      <c r="F705">
        <v>9.8430400540733007</v>
      </c>
    </row>
    <row r="706" spans="1:6" x14ac:dyDescent="0.2">
      <c r="A706">
        <v>736787.60629999998</v>
      </c>
      <c r="B706">
        <v>-149.59545299999999</v>
      </c>
      <c r="C706">
        <v>-17.017054000000002</v>
      </c>
      <c r="D706">
        <v>162.613601004218</v>
      </c>
      <c r="E706">
        <v>30.4</v>
      </c>
      <c r="F706">
        <v>9.9396000627636507</v>
      </c>
    </row>
    <row r="707" spans="1:6" x14ac:dyDescent="0.2">
      <c r="A707">
        <v>736787.60629999998</v>
      </c>
      <c r="B707">
        <v>-149.59544299999999</v>
      </c>
      <c r="C707">
        <v>-17.017054000000002</v>
      </c>
      <c r="D707">
        <v>162.613601004218</v>
      </c>
      <c r="E707">
        <v>30.4</v>
      </c>
      <c r="F707">
        <v>9.9396000627636507</v>
      </c>
    </row>
    <row r="708" spans="1:6" x14ac:dyDescent="0.2">
      <c r="A708">
        <v>736787.60629999998</v>
      </c>
      <c r="B708">
        <v>-149.59542999999999</v>
      </c>
      <c r="C708">
        <v>-17.017061999999999</v>
      </c>
      <c r="D708">
        <v>162.613601004218</v>
      </c>
      <c r="E708">
        <v>30.4</v>
      </c>
      <c r="F708">
        <v>9.9396000627636507</v>
      </c>
    </row>
    <row r="709" spans="1:6" x14ac:dyDescent="0.2">
      <c r="A709">
        <v>736787.60629999998</v>
      </c>
      <c r="B709">
        <v>-149.595415</v>
      </c>
      <c r="C709">
        <v>-17.017067999999998</v>
      </c>
      <c r="D709">
        <v>162.613601004218</v>
      </c>
      <c r="E709">
        <v>30.4</v>
      </c>
      <c r="F709">
        <v>9.9396000627636507</v>
      </c>
    </row>
    <row r="710" spans="1:6" x14ac:dyDescent="0.2">
      <c r="A710">
        <v>736787.60629999998</v>
      </c>
      <c r="B710">
        <v>-149.59540899999999</v>
      </c>
      <c r="C710">
        <v>-17.017077</v>
      </c>
      <c r="D710">
        <v>162.613601004218</v>
      </c>
      <c r="E710">
        <v>30.4</v>
      </c>
      <c r="F710">
        <v>9.9396000627636507</v>
      </c>
    </row>
    <row r="711" spans="1:6" x14ac:dyDescent="0.2">
      <c r="A711">
        <v>736787.60629999998</v>
      </c>
      <c r="B711">
        <v>-149.59540200000001</v>
      </c>
      <c r="C711">
        <v>-17.017088000000001</v>
      </c>
      <c r="D711">
        <v>162.613601004218</v>
      </c>
      <c r="E711">
        <v>30.4</v>
      </c>
      <c r="F711">
        <v>9.9396000627636507</v>
      </c>
    </row>
    <row r="712" spans="1:6" x14ac:dyDescent="0.2">
      <c r="A712">
        <v>736787.60640000005</v>
      </c>
      <c r="B712">
        <v>-149.59538900000001</v>
      </c>
      <c r="C712">
        <v>-17.017102000000001</v>
      </c>
      <c r="D712">
        <v>168</v>
      </c>
      <c r="E712">
        <v>30.619200045061099</v>
      </c>
      <c r="F712">
        <v>10.236159990987799</v>
      </c>
    </row>
    <row r="713" spans="1:6" x14ac:dyDescent="0.2">
      <c r="A713">
        <v>736787.60640000005</v>
      </c>
      <c r="B713">
        <v>-149.59537900000001</v>
      </c>
      <c r="C713">
        <v>-17.017116999999999</v>
      </c>
      <c r="D713">
        <v>168</v>
      </c>
      <c r="E713">
        <v>30.619200045061099</v>
      </c>
      <c r="F713">
        <v>10.236159990987799</v>
      </c>
    </row>
    <row r="714" spans="1:6" x14ac:dyDescent="0.2">
      <c r="A714">
        <v>736787.60640000005</v>
      </c>
      <c r="B714">
        <v>-149.59536700000001</v>
      </c>
      <c r="C714">
        <v>-17.017126999999999</v>
      </c>
      <c r="D714">
        <v>168</v>
      </c>
      <c r="E714">
        <v>30.619200045061099</v>
      </c>
      <c r="F714">
        <v>10.236159990987799</v>
      </c>
    </row>
    <row r="715" spans="1:6" x14ac:dyDescent="0.2">
      <c r="A715">
        <v>736787.60640000005</v>
      </c>
      <c r="B715">
        <v>-149.59535700000001</v>
      </c>
      <c r="C715">
        <v>-17.017135</v>
      </c>
      <c r="D715">
        <v>168</v>
      </c>
      <c r="E715">
        <v>30.619200045061099</v>
      </c>
      <c r="F715">
        <v>10.236159990987799</v>
      </c>
    </row>
    <row r="716" spans="1:6" x14ac:dyDescent="0.2">
      <c r="A716">
        <v>736787.60640000005</v>
      </c>
      <c r="B716">
        <v>-149.59535299999999</v>
      </c>
      <c r="C716">
        <v>-17.017147999999999</v>
      </c>
      <c r="D716">
        <v>168</v>
      </c>
      <c r="E716">
        <v>30.619200045061099</v>
      </c>
      <c r="F716">
        <v>10.236159990987799</v>
      </c>
    </row>
    <row r="717" spans="1:6" x14ac:dyDescent="0.2">
      <c r="A717">
        <v>736787.60640000005</v>
      </c>
      <c r="B717">
        <v>-149.59534500000001</v>
      </c>
      <c r="C717">
        <v>-17.017160000000001</v>
      </c>
      <c r="D717">
        <v>168</v>
      </c>
      <c r="E717">
        <v>30.619200045061099</v>
      </c>
      <c r="F717">
        <v>10.236159990987799</v>
      </c>
    </row>
    <row r="718" spans="1:6" x14ac:dyDescent="0.2">
      <c r="A718">
        <v>736787.60640000005</v>
      </c>
      <c r="B718">
        <v>-149.595337</v>
      </c>
      <c r="C718">
        <v>-17.017168000000002</v>
      </c>
      <c r="D718">
        <v>168</v>
      </c>
      <c r="E718">
        <v>30.619200045061099</v>
      </c>
      <c r="F718">
        <v>10.236159990987799</v>
      </c>
    </row>
    <row r="719" spans="1:6" x14ac:dyDescent="0.2">
      <c r="A719">
        <v>736787.60640000005</v>
      </c>
      <c r="B719">
        <v>-149.59532899999999</v>
      </c>
      <c r="C719">
        <v>-17.01718</v>
      </c>
      <c r="D719">
        <v>168</v>
      </c>
      <c r="E719">
        <v>30.619200045061099</v>
      </c>
      <c r="F719">
        <v>10.236159990987799</v>
      </c>
    </row>
    <row r="720" spans="1:6" x14ac:dyDescent="0.2">
      <c r="A720">
        <v>736787.60649999999</v>
      </c>
      <c r="B720">
        <v>-149.595316</v>
      </c>
      <c r="C720">
        <v>-17.017191</v>
      </c>
      <c r="D720">
        <v>171.588001255276</v>
      </c>
      <c r="E720">
        <v>30.7</v>
      </c>
      <c r="F720">
        <v>10.440800077247699</v>
      </c>
    </row>
    <row r="721" spans="1:6" x14ac:dyDescent="0.2">
      <c r="A721">
        <v>736787.60649999999</v>
      </c>
      <c r="B721">
        <v>-149.59530699999999</v>
      </c>
      <c r="C721">
        <v>-17.017195000000001</v>
      </c>
      <c r="D721">
        <v>171.588001255276</v>
      </c>
      <c r="E721">
        <v>30.7</v>
      </c>
      <c r="F721">
        <v>10.440800077247699</v>
      </c>
    </row>
    <row r="722" spans="1:6" x14ac:dyDescent="0.2">
      <c r="A722">
        <v>736787.60649999999</v>
      </c>
      <c r="B722">
        <v>-149.59529699999999</v>
      </c>
      <c r="C722">
        <v>-17.017201</v>
      </c>
      <c r="D722">
        <v>171.588001255276</v>
      </c>
      <c r="E722">
        <v>30.7</v>
      </c>
      <c r="F722">
        <v>10.440800077247699</v>
      </c>
    </row>
    <row r="723" spans="1:6" x14ac:dyDescent="0.2">
      <c r="A723">
        <v>736787.60649999999</v>
      </c>
      <c r="B723">
        <v>-149.59528499999999</v>
      </c>
      <c r="C723">
        <v>-17.017211</v>
      </c>
      <c r="D723">
        <v>171.588001255276</v>
      </c>
      <c r="E723">
        <v>30.7</v>
      </c>
      <c r="F723">
        <v>10.440800077247699</v>
      </c>
    </row>
    <row r="724" spans="1:6" x14ac:dyDescent="0.2">
      <c r="A724">
        <v>736787.60649999999</v>
      </c>
      <c r="B724">
        <v>-149.59527499999999</v>
      </c>
      <c r="C724">
        <v>-17.017222</v>
      </c>
      <c r="D724">
        <v>171.588001255276</v>
      </c>
      <c r="E724">
        <v>30.7</v>
      </c>
      <c r="F724">
        <v>10.440800077247699</v>
      </c>
    </row>
    <row r="725" spans="1:6" x14ac:dyDescent="0.2">
      <c r="A725">
        <v>736787.60649999999</v>
      </c>
      <c r="B725">
        <v>-149.59526600000001</v>
      </c>
      <c r="C725">
        <v>-17.017230999999999</v>
      </c>
      <c r="D725">
        <v>171.588001255276</v>
      </c>
      <c r="E725">
        <v>30.7</v>
      </c>
      <c r="F725">
        <v>10.440800077247699</v>
      </c>
    </row>
    <row r="726" spans="1:6" x14ac:dyDescent="0.2">
      <c r="A726">
        <v>736787.60649999999</v>
      </c>
      <c r="B726">
        <v>-149.595259</v>
      </c>
      <c r="C726">
        <v>-17.017242</v>
      </c>
      <c r="D726">
        <v>171.588001255276</v>
      </c>
      <c r="E726">
        <v>30.7</v>
      </c>
      <c r="F726">
        <v>10.440800077247699</v>
      </c>
    </row>
    <row r="727" spans="1:6" x14ac:dyDescent="0.2">
      <c r="A727">
        <v>736787.60649999999</v>
      </c>
      <c r="B727">
        <v>-149.59525400000001</v>
      </c>
      <c r="C727">
        <v>-17.017258000000002</v>
      </c>
      <c r="D727">
        <v>171.588001255276</v>
      </c>
      <c r="E727">
        <v>30.7</v>
      </c>
      <c r="F727">
        <v>10.440800077247699</v>
      </c>
    </row>
    <row r="728" spans="1:6" x14ac:dyDescent="0.2">
      <c r="A728">
        <v>736787.60660000006</v>
      </c>
      <c r="B728">
        <v>-149.595246</v>
      </c>
      <c r="C728">
        <v>-17.017268000000001</v>
      </c>
      <c r="D728">
        <v>174.2</v>
      </c>
      <c r="E728">
        <v>30.764800051498401</v>
      </c>
      <c r="F728">
        <v>10.587039989700299</v>
      </c>
    </row>
    <row r="729" spans="1:6" x14ac:dyDescent="0.2">
      <c r="A729">
        <v>736787.60660000006</v>
      </c>
      <c r="B729">
        <v>-149.59524099999999</v>
      </c>
      <c r="C729">
        <v>-17.017275999999999</v>
      </c>
      <c r="D729">
        <v>174.2</v>
      </c>
      <c r="E729">
        <v>30.764800051498401</v>
      </c>
      <c r="F729">
        <v>10.587039989700299</v>
      </c>
    </row>
    <row r="730" spans="1:6" x14ac:dyDescent="0.2">
      <c r="A730">
        <v>736787.60660000006</v>
      </c>
      <c r="B730">
        <v>-149.595235</v>
      </c>
      <c r="C730">
        <v>-17.017289000000002</v>
      </c>
      <c r="D730">
        <v>174.2</v>
      </c>
      <c r="E730">
        <v>30.764800051498401</v>
      </c>
      <c r="F730">
        <v>10.587039989700299</v>
      </c>
    </row>
    <row r="731" spans="1:6" x14ac:dyDescent="0.2">
      <c r="A731">
        <v>736787.60660000006</v>
      </c>
      <c r="B731">
        <v>-149.59522699999999</v>
      </c>
      <c r="C731">
        <v>-17.017302999999998</v>
      </c>
      <c r="D731">
        <v>174.2</v>
      </c>
      <c r="E731">
        <v>30.764800051498401</v>
      </c>
      <c r="F731">
        <v>10.587039989700299</v>
      </c>
    </row>
    <row r="732" spans="1:6" x14ac:dyDescent="0.2">
      <c r="A732">
        <v>736787.60660000006</v>
      </c>
      <c r="B732">
        <v>-149.59521899999999</v>
      </c>
      <c r="C732">
        <v>-17.017312</v>
      </c>
      <c r="D732">
        <v>174.2</v>
      </c>
      <c r="E732">
        <v>30.764800051498401</v>
      </c>
      <c r="F732">
        <v>10.587039989700299</v>
      </c>
    </row>
    <row r="733" spans="1:6" x14ac:dyDescent="0.2">
      <c r="A733">
        <v>736787.60660000006</v>
      </c>
      <c r="B733">
        <v>-149.59521100000001</v>
      </c>
      <c r="C733">
        <v>-17.017320000000002</v>
      </c>
      <c r="D733">
        <v>174.2</v>
      </c>
      <c r="E733">
        <v>30.764800051498401</v>
      </c>
      <c r="F733">
        <v>10.587039989700299</v>
      </c>
    </row>
    <row r="734" spans="1:6" x14ac:dyDescent="0.2">
      <c r="A734">
        <v>736787.60660000006</v>
      </c>
      <c r="B734">
        <v>-149.59520699999999</v>
      </c>
      <c r="C734">
        <v>-17.017334999999999</v>
      </c>
      <c r="D734">
        <v>174.2</v>
      </c>
      <c r="E734">
        <v>30.764800051498401</v>
      </c>
      <c r="F734">
        <v>10.587039989700299</v>
      </c>
    </row>
    <row r="735" spans="1:6" x14ac:dyDescent="0.2">
      <c r="A735">
        <v>736787.60660000006</v>
      </c>
      <c r="B735">
        <v>-149.59519900000001</v>
      </c>
      <c r="C735">
        <v>-17.017347000000001</v>
      </c>
      <c r="D735">
        <v>174.2</v>
      </c>
      <c r="E735">
        <v>30.764800051498401</v>
      </c>
      <c r="F735">
        <v>10.587039989700299</v>
      </c>
    </row>
    <row r="736" spans="1:6" x14ac:dyDescent="0.2">
      <c r="A736">
        <v>736787.60660000006</v>
      </c>
      <c r="B736">
        <v>-149.59519</v>
      </c>
      <c r="C736">
        <v>-17.017353</v>
      </c>
      <c r="D736">
        <v>174.2</v>
      </c>
      <c r="E736">
        <v>30.764800051498401</v>
      </c>
      <c r="F736">
        <v>10.587039989700299</v>
      </c>
    </row>
    <row r="737" spans="1:6" x14ac:dyDescent="0.2">
      <c r="A737">
        <v>736787.6067</v>
      </c>
      <c r="B737">
        <v>-149.59518199999999</v>
      </c>
      <c r="C737">
        <v>-17.017363</v>
      </c>
      <c r="D737">
        <v>175.97520010943401</v>
      </c>
      <c r="E737">
        <v>30.8</v>
      </c>
      <c r="F737">
        <v>10.693760005471701</v>
      </c>
    </row>
    <row r="738" spans="1:6" x14ac:dyDescent="0.2">
      <c r="A738">
        <v>736787.6067</v>
      </c>
      <c r="B738">
        <v>-149.59517099999999</v>
      </c>
      <c r="C738">
        <v>-17.017375000000001</v>
      </c>
      <c r="D738">
        <v>175.97520010943401</v>
      </c>
      <c r="E738">
        <v>30.8</v>
      </c>
      <c r="F738">
        <v>10.693760005471701</v>
      </c>
    </row>
    <row r="739" spans="1:6" x14ac:dyDescent="0.2">
      <c r="A739">
        <v>736787.6067</v>
      </c>
      <c r="B739">
        <v>-149.59514300000001</v>
      </c>
      <c r="C739">
        <v>-17.017396000000002</v>
      </c>
      <c r="D739">
        <v>175.97520010943401</v>
      </c>
      <c r="E739">
        <v>30.8</v>
      </c>
      <c r="F739">
        <v>10.693760005471701</v>
      </c>
    </row>
    <row r="740" spans="1:6" x14ac:dyDescent="0.2">
      <c r="A740">
        <v>736787.6067</v>
      </c>
      <c r="B740">
        <v>-149.595134</v>
      </c>
      <c r="C740">
        <v>-17.017408</v>
      </c>
      <c r="D740">
        <v>175.97520010943401</v>
      </c>
      <c r="E740">
        <v>30.8</v>
      </c>
      <c r="F740">
        <v>10.693760005471701</v>
      </c>
    </row>
    <row r="741" spans="1:6" x14ac:dyDescent="0.2">
      <c r="A741">
        <v>736787.6067</v>
      </c>
      <c r="B741">
        <v>-149.59512599999999</v>
      </c>
      <c r="C741">
        <v>-17.017419</v>
      </c>
      <c r="D741">
        <v>175.97520010943401</v>
      </c>
      <c r="E741">
        <v>30.8</v>
      </c>
      <c r="F741">
        <v>10.693760005471701</v>
      </c>
    </row>
    <row r="742" spans="1:6" x14ac:dyDescent="0.2">
      <c r="A742">
        <v>736787.6067</v>
      </c>
      <c r="B742">
        <v>-149.59511000000001</v>
      </c>
      <c r="C742">
        <v>-17.017429</v>
      </c>
      <c r="D742">
        <v>175.97520010943401</v>
      </c>
      <c r="E742">
        <v>30.8</v>
      </c>
      <c r="F742">
        <v>10.693760005471701</v>
      </c>
    </row>
    <row r="743" spans="1:6" x14ac:dyDescent="0.2">
      <c r="A743">
        <v>736787.60679999995</v>
      </c>
      <c r="B743">
        <v>-149.59509700000001</v>
      </c>
      <c r="C743">
        <v>-17.017443</v>
      </c>
      <c r="D743">
        <v>176.13760073385299</v>
      </c>
      <c r="E743">
        <v>30.9</v>
      </c>
      <c r="F743">
        <v>10.6858400489236</v>
      </c>
    </row>
    <row r="744" spans="1:6" x14ac:dyDescent="0.2">
      <c r="A744">
        <v>736787.60679999995</v>
      </c>
      <c r="B744">
        <v>-149.59508600000001</v>
      </c>
      <c r="C744">
        <v>-17.017453</v>
      </c>
      <c r="D744">
        <v>176.13760073385299</v>
      </c>
      <c r="E744">
        <v>30.9</v>
      </c>
      <c r="F744">
        <v>10.6858400489236</v>
      </c>
    </row>
    <row r="745" spans="1:6" x14ac:dyDescent="0.2">
      <c r="A745">
        <v>736787.60679999995</v>
      </c>
      <c r="B745">
        <v>-149.59507600000001</v>
      </c>
      <c r="C745">
        <v>-17.017462999999999</v>
      </c>
      <c r="D745">
        <v>176.13760073385299</v>
      </c>
      <c r="E745">
        <v>30.9</v>
      </c>
      <c r="F745">
        <v>10.6858400489236</v>
      </c>
    </row>
    <row r="746" spans="1:6" x14ac:dyDescent="0.2">
      <c r="A746">
        <v>736787.60679999995</v>
      </c>
      <c r="B746">
        <v>-149.59506999999999</v>
      </c>
      <c r="C746">
        <v>-17.017478000000001</v>
      </c>
      <c r="D746">
        <v>176.13760073385299</v>
      </c>
      <c r="E746">
        <v>30.9</v>
      </c>
      <c r="F746">
        <v>10.6858400489236</v>
      </c>
    </row>
    <row r="747" spans="1:6" x14ac:dyDescent="0.2">
      <c r="A747">
        <v>736787.60679999995</v>
      </c>
      <c r="B747">
        <v>-149.595066</v>
      </c>
      <c r="C747">
        <v>-17.017492000000001</v>
      </c>
      <c r="D747">
        <v>176.13760073385299</v>
      </c>
      <c r="E747">
        <v>30.9</v>
      </c>
      <c r="F747">
        <v>10.6858400489236</v>
      </c>
    </row>
    <row r="748" spans="1:6" x14ac:dyDescent="0.2">
      <c r="A748">
        <v>736787.60679999995</v>
      </c>
      <c r="B748">
        <v>-149.59506200000001</v>
      </c>
      <c r="C748">
        <v>-17.017503000000001</v>
      </c>
      <c r="D748">
        <v>176.13760073385299</v>
      </c>
      <c r="E748">
        <v>30.9</v>
      </c>
      <c r="F748">
        <v>10.6858400489236</v>
      </c>
    </row>
    <row r="749" spans="1:6" x14ac:dyDescent="0.2">
      <c r="A749">
        <v>736787.60679999995</v>
      </c>
      <c r="B749">
        <v>-149.595056</v>
      </c>
      <c r="C749">
        <v>-17.017512</v>
      </c>
      <c r="D749">
        <v>176.13760073385299</v>
      </c>
      <c r="E749">
        <v>30.9</v>
      </c>
      <c r="F749">
        <v>10.6858400489236</v>
      </c>
    </row>
    <row r="750" spans="1:6" x14ac:dyDescent="0.2">
      <c r="A750">
        <v>736787.60679999995</v>
      </c>
      <c r="B750">
        <v>-149.59504699999999</v>
      </c>
      <c r="C750">
        <v>-17.017520000000001</v>
      </c>
      <c r="D750">
        <v>176.13760073385299</v>
      </c>
      <c r="E750">
        <v>30.9</v>
      </c>
      <c r="F750">
        <v>10.6858400489236</v>
      </c>
    </row>
    <row r="751" spans="1:6" x14ac:dyDescent="0.2">
      <c r="A751">
        <v>736787.60690000001</v>
      </c>
      <c r="B751">
        <v>-149.59504000000001</v>
      </c>
      <c r="C751">
        <v>-17.017529</v>
      </c>
      <c r="D751">
        <v>175.6</v>
      </c>
      <c r="E751">
        <v>30.9</v>
      </c>
      <c r="F751">
        <v>10.65</v>
      </c>
    </row>
    <row r="752" spans="1:6" x14ac:dyDescent="0.2">
      <c r="A752">
        <v>736787.60690000001</v>
      </c>
      <c r="B752">
        <v>-149.59503799999999</v>
      </c>
      <c r="C752">
        <v>-17.017541999999999</v>
      </c>
      <c r="D752">
        <v>175.6</v>
      </c>
      <c r="E752">
        <v>30.9</v>
      </c>
      <c r="F752">
        <v>10.65</v>
      </c>
    </row>
    <row r="753" spans="1:6" x14ac:dyDescent="0.2">
      <c r="A753">
        <v>736787.60690000001</v>
      </c>
      <c r="B753">
        <v>-149.59503000000001</v>
      </c>
      <c r="C753">
        <v>-17.017552999999999</v>
      </c>
      <c r="D753">
        <v>175.6</v>
      </c>
      <c r="E753">
        <v>30.9</v>
      </c>
      <c r="F753">
        <v>10.65</v>
      </c>
    </row>
    <row r="754" spans="1:6" x14ac:dyDescent="0.2">
      <c r="A754">
        <v>736787.60690000001</v>
      </c>
      <c r="B754">
        <v>-149.59502000000001</v>
      </c>
      <c r="C754">
        <v>-17.017562000000002</v>
      </c>
      <c r="D754">
        <v>175.6</v>
      </c>
      <c r="E754">
        <v>30.9</v>
      </c>
      <c r="F754">
        <v>10.65</v>
      </c>
    </row>
    <row r="755" spans="1:6" x14ac:dyDescent="0.2">
      <c r="A755">
        <v>736787.60690000001</v>
      </c>
      <c r="B755">
        <v>-149.595011</v>
      </c>
      <c r="C755">
        <v>-17.017572999999999</v>
      </c>
      <c r="D755">
        <v>175.6</v>
      </c>
      <c r="E755">
        <v>30.9</v>
      </c>
      <c r="F755">
        <v>10.65</v>
      </c>
    </row>
    <row r="756" spans="1:6" x14ac:dyDescent="0.2">
      <c r="A756">
        <v>736787.60690000001</v>
      </c>
      <c r="B756">
        <v>-149.59500399999999</v>
      </c>
      <c r="C756">
        <v>-17.017581</v>
      </c>
      <c r="D756">
        <v>175.6</v>
      </c>
      <c r="E756">
        <v>30.9</v>
      </c>
      <c r="F756">
        <v>10.65</v>
      </c>
    </row>
    <row r="757" spans="1:6" x14ac:dyDescent="0.2">
      <c r="A757">
        <v>736787.60690000001</v>
      </c>
      <c r="B757">
        <v>-149.594998</v>
      </c>
      <c r="C757">
        <v>-17.017588</v>
      </c>
      <c r="D757">
        <v>175.6</v>
      </c>
      <c r="E757">
        <v>30.9</v>
      </c>
      <c r="F757">
        <v>10.65</v>
      </c>
    </row>
    <row r="758" spans="1:6" x14ac:dyDescent="0.2">
      <c r="A758">
        <v>736787.60690000001</v>
      </c>
      <c r="B758">
        <v>-149.59499</v>
      </c>
      <c r="C758">
        <v>-17.017592</v>
      </c>
      <c r="D758">
        <v>175.6</v>
      </c>
      <c r="E758">
        <v>30.9</v>
      </c>
      <c r="F758">
        <v>10.65</v>
      </c>
    </row>
    <row r="759" spans="1:6" x14ac:dyDescent="0.2">
      <c r="A759">
        <v>736787.60690000001</v>
      </c>
      <c r="B759">
        <v>-149.59498099999999</v>
      </c>
      <c r="C759">
        <v>-17.017596000000001</v>
      </c>
      <c r="D759">
        <v>175.6</v>
      </c>
      <c r="E759">
        <v>30.9</v>
      </c>
      <c r="F759">
        <v>10.65</v>
      </c>
    </row>
    <row r="760" spans="1:6" x14ac:dyDescent="0.2">
      <c r="A760">
        <v>736787.60699999996</v>
      </c>
      <c r="B760">
        <v>-149.59497099999999</v>
      </c>
      <c r="C760">
        <v>-17.017603999999999</v>
      </c>
      <c r="D760">
        <v>176.25599986320699</v>
      </c>
      <c r="E760">
        <v>31.055999863207401</v>
      </c>
      <c r="F760">
        <v>10.663200041037801</v>
      </c>
    </row>
    <row r="761" spans="1:6" x14ac:dyDescent="0.2">
      <c r="A761">
        <v>736787.60699999996</v>
      </c>
      <c r="B761">
        <v>-149.59495999999999</v>
      </c>
      <c r="C761">
        <v>-17.017612</v>
      </c>
      <c r="D761">
        <v>176.25599986320699</v>
      </c>
      <c r="E761">
        <v>31.055999863207401</v>
      </c>
      <c r="F761">
        <v>10.663200041037801</v>
      </c>
    </row>
    <row r="762" spans="1:6" x14ac:dyDescent="0.2">
      <c r="A762">
        <v>736787.60699999996</v>
      </c>
      <c r="B762">
        <v>-149.59495100000001</v>
      </c>
      <c r="C762">
        <v>-17.017617999999999</v>
      </c>
      <c r="D762">
        <v>176.25599986320699</v>
      </c>
      <c r="E762">
        <v>31.055999863207401</v>
      </c>
      <c r="F762">
        <v>10.663200041037801</v>
      </c>
    </row>
    <row r="763" spans="1:6" x14ac:dyDescent="0.2">
      <c r="A763">
        <v>736787.60699999996</v>
      </c>
      <c r="B763">
        <v>-149.59493800000001</v>
      </c>
      <c r="C763">
        <v>-17.017634000000001</v>
      </c>
      <c r="D763">
        <v>176.25599986320699</v>
      </c>
      <c r="E763">
        <v>31.055999863207401</v>
      </c>
      <c r="F763">
        <v>10.663200041037801</v>
      </c>
    </row>
    <row r="764" spans="1:6" x14ac:dyDescent="0.2">
      <c r="A764">
        <v>736787.60699999996</v>
      </c>
      <c r="B764">
        <v>-149.594931</v>
      </c>
      <c r="C764">
        <v>-17.017645999999999</v>
      </c>
      <c r="D764">
        <v>176.25599986320699</v>
      </c>
      <c r="E764">
        <v>31.055999863207401</v>
      </c>
      <c r="F764">
        <v>10.663200041037801</v>
      </c>
    </row>
    <row r="765" spans="1:6" x14ac:dyDescent="0.2">
      <c r="A765">
        <v>736787.60699999996</v>
      </c>
      <c r="B765">
        <v>-149.59492499999999</v>
      </c>
      <c r="C765">
        <v>-17.017664</v>
      </c>
      <c r="D765">
        <v>176.25599986320699</v>
      </c>
      <c r="E765">
        <v>31.055999863207401</v>
      </c>
      <c r="F765">
        <v>10.663200041037801</v>
      </c>
    </row>
    <row r="766" spans="1:6" x14ac:dyDescent="0.2">
      <c r="A766">
        <v>736787.60699999996</v>
      </c>
      <c r="B766">
        <v>-149.59492299999999</v>
      </c>
      <c r="C766">
        <v>-17.017679999999999</v>
      </c>
      <c r="D766">
        <v>176.25599986320699</v>
      </c>
      <c r="E766">
        <v>31.055999863207401</v>
      </c>
      <c r="F766">
        <v>10.663200041037801</v>
      </c>
    </row>
    <row r="767" spans="1:6" x14ac:dyDescent="0.2">
      <c r="A767">
        <v>736787.60710000002</v>
      </c>
      <c r="B767">
        <v>-149.59492299999999</v>
      </c>
      <c r="C767">
        <v>-17.017690000000002</v>
      </c>
      <c r="D767">
        <v>176.15920060832499</v>
      </c>
      <c r="E767">
        <v>31.128800067591602</v>
      </c>
      <c r="F767">
        <v>10.6415200270367</v>
      </c>
    </row>
    <row r="768" spans="1:6" x14ac:dyDescent="0.2">
      <c r="A768">
        <v>736787.60710000002</v>
      </c>
      <c r="B768">
        <v>-149.594921</v>
      </c>
      <c r="C768">
        <v>-17.017700000000001</v>
      </c>
      <c r="D768">
        <v>176.15920060832499</v>
      </c>
      <c r="E768">
        <v>31.128800067591602</v>
      </c>
      <c r="F768">
        <v>10.6415200270367</v>
      </c>
    </row>
    <row r="769" spans="1:6" x14ac:dyDescent="0.2">
      <c r="A769">
        <v>736787.60710000002</v>
      </c>
      <c r="B769">
        <v>-149.59491600000001</v>
      </c>
      <c r="C769">
        <v>-17.017714000000002</v>
      </c>
      <c r="D769">
        <v>176.15920060832499</v>
      </c>
      <c r="E769">
        <v>31.128800067591602</v>
      </c>
      <c r="F769">
        <v>10.6415200270367</v>
      </c>
    </row>
    <row r="770" spans="1:6" x14ac:dyDescent="0.2">
      <c r="A770">
        <v>736787.60710000002</v>
      </c>
      <c r="B770">
        <v>-149.59491399999999</v>
      </c>
      <c r="C770">
        <v>-17.017734000000001</v>
      </c>
      <c r="D770">
        <v>176.15920060832499</v>
      </c>
      <c r="E770">
        <v>31.128800067591602</v>
      </c>
      <c r="F770">
        <v>10.6415200270367</v>
      </c>
    </row>
    <row r="771" spans="1:6" x14ac:dyDescent="0.2">
      <c r="A771">
        <v>736787.60710000002</v>
      </c>
      <c r="B771">
        <v>-149.59490600000001</v>
      </c>
      <c r="C771">
        <v>-17.017749999999999</v>
      </c>
      <c r="D771">
        <v>176.15920060832499</v>
      </c>
      <c r="E771">
        <v>31.128800067591602</v>
      </c>
      <c r="F771">
        <v>10.6415200270367</v>
      </c>
    </row>
    <row r="772" spans="1:6" x14ac:dyDescent="0.2">
      <c r="A772">
        <v>736787.60710000002</v>
      </c>
      <c r="B772">
        <v>-149.594897</v>
      </c>
      <c r="C772">
        <v>-17.017758000000001</v>
      </c>
      <c r="D772">
        <v>176.15920060832499</v>
      </c>
      <c r="E772">
        <v>31.128800067591602</v>
      </c>
      <c r="F772">
        <v>10.6415200270367</v>
      </c>
    </row>
    <row r="773" spans="1:6" x14ac:dyDescent="0.2">
      <c r="A773">
        <v>736787.60710000002</v>
      </c>
      <c r="B773">
        <v>-149.59489300000001</v>
      </c>
      <c r="C773">
        <v>-17.017766000000002</v>
      </c>
      <c r="D773">
        <v>176.15920060832499</v>
      </c>
      <c r="E773">
        <v>31.128800067591602</v>
      </c>
      <c r="F773">
        <v>10.6415200270367</v>
      </c>
    </row>
    <row r="774" spans="1:6" x14ac:dyDescent="0.2">
      <c r="A774">
        <v>736787.60719999997</v>
      </c>
      <c r="B774">
        <v>-149.594885</v>
      </c>
      <c r="C774">
        <v>-17.017778</v>
      </c>
      <c r="D774">
        <v>176.94159669444099</v>
      </c>
      <c r="E774">
        <v>31.4</v>
      </c>
      <c r="F774">
        <v>10.642559796581001</v>
      </c>
    </row>
    <row r="775" spans="1:6" x14ac:dyDescent="0.2">
      <c r="A775">
        <v>736787.60719999997</v>
      </c>
      <c r="B775">
        <v>-149.59487200000001</v>
      </c>
      <c r="C775">
        <v>-17.017787999999999</v>
      </c>
      <c r="D775">
        <v>176.94159669444099</v>
      </c>
      <c r="E775">
        <v>31.4</v>
      </c>
      <c r="F775">
        <v>10.642559796581001</v>
      </c>
    </row>
    <row r="776" spans="1:6" x14ac:dyDescent="0.2">
      <c r="A776">
        <v>736787.60719999997</v>
      </c>
      <c r="B776">
        <v>-149.59485900000001</v>
      </c>
      <c r="C776">
        <v>-17.017800000000001</v>
      </c>
      <c r="D776">
        <v>176.94159669444099</v>
      </c>
      <c r="E776">
        <v>31.4</v>
      </c>
      <c r="F776">
        <v>10.642559796581001</v>
      </c>
    </row>
    <row r="777" spans="1:6" x14ac:dyDescent="0.2">
      <c r="A777">
        <v>736787.60719999997</v>
      </c>
      <c r="B777">
        <v>-149.59484800000001</v>
      </c>
      <c r="C777">
        <v>-17.017807999999999</v>
      </c>
      <c r="D777">
        <v>176.94159669444099</v>
      </c>
      <c r="E777">
        <v>31.4</v>
      </c>
      <c r="F777">
        <v>10.642559796581001</v>
      </c>
    </row>
    <row r="778" spans="1:6" x14ac:dyDescent="0.2">
      <c r="A778">
        <v>736787.60719999997</v>
      </c>
      <c r="B778">
        <v>-149.59483800000001</v>
      </c>
      <c r="C778">
        <v>-17.017816</v>
      </c>
      <c r="D778">
        <v>176.94159669444099</v>
      </c>
      <c r="E778">
        <v>31.4</v>
      </c>
      <c r="F778">
        <v>10.642559796581001</v>
      </c>
    </row>
    <row r="779" spans="1:6" x14ac:dyDescent="0.2">
      <c r="A779">
        <v>736787.60719999997</v>
      </c>
      <c r="B779">
        <v>-149.59483</v>
      </c>
      <c r="C779">
        <v>-17.017825999999999</v>
      </c>
      <c r="D779">
        <v>176.94159669444099</v>
      </c>
      <c r="E779">
        <v>31.4</v>
      </c>
      <c r="F779">
        <v>10.642559796581001</v>
      </c>
    </row>
    <row r="780" spans="1:6" x14ac:dyDescent="0.2">
      <c r="A780">
        <v>736787.60719999997</v>
      </c>
      <c r="B780">
        <v>-149.59482399999999</v>
      </c>
      <c r="C780">
        <v>-17.017833</v>
      </c>
      <c r="D780">
        <v>176.94159669444099</v>
      </c>
      <c r="E780">
        <v>31.4</v>
      </c>
      <c r="F780">
        <v>10.642559796581001</v>
      </c>
    </row>
    <row r="781" spans="1:6" x14ac:dyDescent="0.2">
      <c r="A781">
        <v>736787.60719999997</v>
      </c>
      <c r="B781">
        <v>-149.59481299999999</v>
      </c>
      <c r="C781">
        <v>-17.01784</v>
      </c>
      <c r="D781">
        <v>176.94159669444099</v>
      </c>
      <c r="E781">
        <v>31.4</v>
      </c>
      <c r="F781">
        <v>10.642559796581001</v>
      </c>
    </row>
    <row r="782" spans="1:6" x14ac:dyDescent="0.2">
      <c r="A782">
        <v>736787.60730000003</v>
      </c>
      <c r="B782">
        <v>-149.59480600000001</v>
      </c>
      <c r="C782">
        <v>-17.017848000000001</v>
      </c>
      <c r="D782">
        <v>181.21120170266499</v>
      </c>
      <c r="E782">
        <v>31.4744000740289</v>
      </c>
      <c r="F782">
        <v>10.889280088834701</v>
      </c>
    </row>
    <row r="783" spans="1:6" x14ac:dyDescent="0.2">
      <c r="A783">
        <v>736787.60730000003</v>
      </c>
      <c r="B783">
        <v>-149.59479899999999</v>
      </c>
      <c r="C783">
        <v>-17.017855999999998</v>
      </c>
      <c r="D783">
        <v>181.21120170266499</v>
      </c>
      <c r="E783">
        <v>31.4744000740289</v>
      </c>
      <c r="F783">
        <v>10.889280088834701</v>
      </c>
    </row>
    <row r="784" spans="1:6" x14ac:dyDescent="0.2">
      <c r="A784">
        <v>736787.60730000003</v>
      </c>
      <c r="B784">
        <v>-149.59479300000001</v>
      </c>
      <c r="C784">
        <v>-17.017863999999999</v>
      </c>
      <c r="D784">
        <v>181.21120170266499</v>
      </c>
      <c r="E784">
        <v>31.4744000740289</v>
      </c>
      <c r="F784">
        <v>10.889280088834701</v>
      </c>
    </row>
    <row r="785" spans="1:6" x14ac:dyDescent="0.2">
      <c r="A785">
        <v>736787.60730000003</v>
      </c>
      <c r="B785">
        <v>-149.59477999999999</v>
      </c>
      <c r="C785">
        <v>-17.017873999999999</v>
      </c>
      <c r="D785">
        <v>181.21120170266499</v>
      </c>
      <c r="E785">
        <v>31.4744000740289</v>
      </c>
      <c r="F785">
        <v>10.889280088834701</v>
      </c>
    </row>
    <row r="786" spans="1:6" x14ac:dyDescent="0.2">
      <c r="A786">
        <v>736787.60730000003</v>
      </c>
      <c r="B786">
        <v>-149.59477000000001</v>
      </c>
      <c r="C786">
        <v>-17.017876000000001</v>
      </c>
      <c r="D786">
        <v>181.21120170266499</v>
      </c>
      <c r="E786">
        <v>31.4744000740289</v>
      </c>
      <c r="F786">
        <v>10.889280088834701</v>
      </c>
    </row>
    <row r="787" spans="1:6" x14ac:dyDescent="0.2">
      <c r="A787">
        <v>736787.60730000003</v>
      </c>
      <c r="B787">
        <v>-149.59475800000001</v>
      </c>
      <c r="C787">
        <v>-17.017876000000001</v>
      </c>
      <c r="D787">
        <v>181.21120170266499</v>
      </c>
      <c r="E787">
        <v>31.4744000740289</v>
      </c>
      <c r="F787">
        <v>10.889280088834701</v>
      </c>
    </row>
    <row r="788" spans="1:6" x14ac:dyDescent="0.2">
      <c r="A788">
        <v>736787.60739999998</v>
      </c>
      <c r="B788">
        <v>-149.59474499999999</v>
      </c>
      <c r="C788">
        <v>-17.017882</v>
      </c>
      <c r="D788">
        <v>180.61440066626199</v>
      </c>
      <c r="E788">
        <v>31.3</v>
      </c>
      <c r="F788">
        <v>10.8839200405551</v>
      </c>
    </row>
    <row r="789" spans="1:6" x14ac:dyDescent="0.2">
      <c r="A789">
        <v>736787.60739999998</v>
      </c>
      <c r="B789">
        <v>-149.59473199999999</v>
      </c>
      <c r="C789">
        <v>-17.017886000000001</v>
      </c>
      <c r="D789">
        <v>180.61440066626199</v>
      </c>
      <c r="E789">
        <v>31.3</v>
      </c>
      <c r="F789">
        <v>10.8839200405551</v>
      </c>
    </row>
    <row r="790" spans="1:6" x14ac:dyDescent="0.2">
      <c r="A790">
        <v>736787.60739999998</v>
      </c>
      <c r="B790">
        <v>-149.59472500000001</v>
      </c>
      <c r="C790">
        <v>-17.017893999999998</v>
      </c>
      <c r="D790">
        <v>180.61440066626199</v>
      </c>
      <c r="E790">
        <v>31.3</v>
      </c>
      <c r="F790">
        <v>10.8839200405551</v>
      </c>
    </row>
    <row r="791" spans="1:6" x14ac:dyDescent="0.2">
      <c r="A791">
        <v>736787.60739999998</v>
      </c>
      <c r="B791">
        <v>-149.59471400000001</v>
      </c>
      <c r="C791">
        <v>-17.017900000000001</v>
      </c>
      <c r="D791">
        <v>180.61440066626199</v>
      </c>
      <c r="E791">
        <v>31.3</v>
      </c>
      <c r="F791">
        <v>10.8839200405551</v>
      </c>
    </row>
    <row r="792" spans="1:6" x14ac:dyDescent="0.2">
      <c r="A792">
        <v>736787.60739999998</v>
      </c>
      <c r="B792">
        <v>-149.594707</v>
      </c>
      <c r="C792">
        <v>-17.017906</v>
      </c>
      <c r="D792">
        <v>180.61440066626199</v>
      </c>
      <c r="E792">
        <v>31.3</v>
      </c>
      <c r="F792">
        <v>10.8839200405551</v>
      </c>
    </row>
    <row r="793" spans="1:6" x14ac:dyDescent="0.2">
      <c r="A793">
        <v>736787.60739999998</v>
      </c>
      <c r="B793">
        <v>-149.59470200000001</v>
      </c>
      <c r="C793">
        <v>-17.017918000000002</v>
      </c>
      <c r="D793">
        <v>180.61440066626199</v>
      </c>
      <c r="E793">
        <v>31.3</v>
      </c>
      <c r="F793">
        <v>10.8839200405551</v>
      </c>
    </row>
    <row r="794" spans="1:6" x14ac:dyDescent="0.2">
      <c r="A794">
        <v>736787.60750000004</v>
      </c>
      <c r="B794">
        <v>-149.594708</v>
      </c>
      <c r="C794">
        <v>-17.01793</v>
      </c>
      <c r="D794">
        <v>176.87999991953399</v>
      </c>
      <c r="E794">
        <v>31.159999839067599</v>
      </c>
      <c r="F794">
        <v>10.694000016093201</v>
      </c>
    </row>
    <row r="795" spans="1:6" x14ac:dyDescent="0.2">
      <c r="A795">
        <v>736787.60750000004</v>
      </c>
      <c r="B795">
        <v>-149.594719</v>
      </c>
      <c r="C795">
        <v>-17.017938000000001</v>
      </c>
      <c r="D795">
        <v>176.87999991953399</v>
      </c>
      <c r="E795">
        <v>31.159999839067599</v>
      </c>
      <c r="F795">
        <v>10.694000016093201</v>
      </c>
    </row>
    <row r="796" spans="1:6" x14ac:dyDescent="0.2">
      <c r="A796">
        <v>736787.60750000004</v>
      </c>
      <c r="B796">
        <v>-149.594729</v>
      </c>
      <c r="C796">
        <v>-17.017944</v>
      </c>
      <c r="D796">
        <v>176.87999991953399</v>
      </c>
      <c r="E796">
        <v>31.159999839067599</v>
      </c>
      <c r="F796">
        <v>10.694000016093201</v>
      </c>
    </row>
    <row r="797" spans="1:6" x14ac:dyDescent="0.2">
      <c r="A797">
        <v>736787.60750000004</v>
      </c>
      <c r="B797">
        <v>-149.59474</v>
      </c>
      <c r="C797">
        <v>-17.017945999999998</v>
      </c>
      <c r="D797">
        <v>176.87999991953399</v>
      </c>
      <c r="E797">
        <v>31.159999839067599</v>
      </c>
      <c r="F797">
        <v>10.694000016093201</v>
      </c>
    </row>
    <row r="798" spans="1:6" x14ac:dyDescent="0.2">
      <c r="A798">
        <v>736787.60759999999</v>
      </c>
      <c r="B798">
        <v>-149.594753</v>
      </c>
      <c r="C798">
        <v>-17.017942000000001</v>
      </c>
      <c r="D798">
        <v>175.59360152724901</v>
      </c>
      <c r="E798">
        <v>31</v>
      </c>
      <c r="F798">
        <v>10.6357600939845</v>
      </c>
    </row>
    <row r="799" spans="1:6" x14ac:dyDescent="0.2">
      <c r="A799">
        <v>736787.60759999999</v>
      </c>
      <c r="B799">
        <v>-149.59476900000001</v>
      </c>
      <c r="C799">
        <v>-17.017942000000001</v>
      </c>
      <c r="D799">
        <v>175.59360152724901</v>
      </c>
      <c r="E799">
        <v>31</v>
      </c>
      <c r="F799">
        <v>10.6357600939845</v>
      </c>
    </row>
    <row r="800" spans="1:6" x14ac:dyDescent="0.2">
      <c r="A800">
        <v>736787.60759999999</v>
      </c>
      <c r="B800">
        <v>-149.59477899999999</v>
      </c>
      <c r="C800">
        <v>-17.017939999999999</v>
      </c>
      <c r="D800">
        <v>175.59360152724901</v>
      </c>
      <c r="E800">
        <v>31</v>
      </c>
      <c r="F800">
        <v>10.6357600939845</v>
      </c>
    </row>
    <row r="801" spans="1:6" x14ac:dyDescent="0.2">
      <c r="A801">
        <v>736787.60759999999</v>
      </c>
      <c r="B801">
        <v>-149.59478899999999</v>
      </c>
      <c r="C801">
        <v>-17.017939999999999</v>
      </c>
      <c r="D801">
        <v>175.59360152724901</v>
      </c>
      <c r="E801">
        <v>31</v>
      </c>
      <c r="F801">
        <v>10.6357600939845</v>
      </c>
    </row>
    <row r="802" spans="1:6" x14ac:dyDescent="0.2">
      <c r="A802">
        <v>736787.60759999999</v>
      </c>
      <c r="B802">
        <v>-149.59480500000001</v>
      </c>
      <c r="C802">
        <v>-17.017932999999999</v>
      </c>
      <c r="D802">
        <v>175.59360152724901</v>
      </c>
      <c r="E802">
        <v>31</v>
      </c>
      <c r="F802">
        <v>10.6357600939845</v>
      </c>
    </row>
    <row r="803" spans="1:6" x14ac:dyDescent="0.2">
      <c r="A803">
        <v>736787.60759999999</v>
      </c>
      <c r="B803">
        <v>-149.594818</v>
      </c>
      <c r="C803">
        <v>-17.017925000000002</v>
      </c>
      <c r="D803">
        <v>175.59360152724901</v>
      </c>
      <c r="E803">
        <v>31</v>
      </c>
      <c r="F803">
        <v>10.6357600939845</v>
      </c>
    </row>
    <row r="804" spans="1:6" x14ac:dyDescent="0.2">
      <c r="A804">
        <v>736787.60770000005</v>
      </c>
      <c r="B804">
        <v>-149.59483</v>
      </c>
      <c r="C804">
        <v>-17.017924000000001</v>
      </c>
      <c r="D804">
        <v>174.381598783351</v>
      </c>
      <c r="E804">
        <v>30.834399913096501</v>
      </c>
      <c r="F804">
        <v>10.5840799391675</v>
      </c>
    </row>
    <row r="805" spans="1:6" x14ac:dyDescent="0.2">
      <c r="A805">
        <v>736787.60770000005</v>
      </c>
      <c r="B805">
        <v>-149.59484</v>
      </c>
      <c r="C805">
        <v>-17.017921999999999</v>
      </c>
      <c r="D805">
        <v>174.381598783351</v>
      </c>
      <c r="E805">
        <v>30.834399913096501</v>
      </c>
      <c r="F805">
        <v>10.5840799391675</v>
      </c>
    </row>
    <row r="806" spans="1:6" x14ac:dyDescent="0.2">
      <c r="A806">
        <v>736787.60770000005</v>
      </c>
      <c r="B806">
        <v>-149.59485799999999</v>
      </c>
      <c r="C806">
        <v>-17.017913</v>
      </c>
      <c r="D806">
        <v>174.381598783351</v>
      </c>
      <c r="E806">
        <v>30.834399913096501</v>
      </c>
      <c r="F806">
        <v>10.5840799391675</v>
      </c>
    </row>
    <row r="807" spans="1:6" x14ac:dyDescent="0.2">
      <c r="A807">
        <v>736787.60770000005</v>
      </c>
      <c r="B807">
        <v>-149.59486799999999</v>
      </c>
      <c r="C807">
        <v>-17.017911000000002</v>
      </c>
      <c r="D807">
        <v>174.381598783351</v>
      </c>
      <c r="E807">
        <v>30.834399913096501</v>
      </c>
      <c r="F807">
        <v>10.5840799391675</v>
      </c>
    </row>
    <row r="808" spans="1:6" x14ac:dyDescent="0.2">
      <c r="A808">
        <v>736787.60770000005</v>
      </c>
      <c r="B808">
        <v>-149.59487799999999</v>
      </c>
      <c r="C808">
        <v>-17.017907999999998</v>
      </c>
      <c r="D808">
        <v>174.381598783351</v>
      </c>
      <c r="E808">
        <v>30.834399913096501</v>
      </c>
      <c r="F808">
        <v>10.5840799391675</v>
      </c>
    </row>
    <row r="809" spans="1:6" x14ac:dyDescent="0.2">
      <c r="A809">
        <v>736787.60770000005</v>
      </c>
      <c r="B809">
        <v>-149.59488999999999</v>
      </c>
      <c r="C809">
        <v>-17.017901999999999</v>
      </c>
      <c r="D809">
        <v>174.381598783351</v>
      </c>
      <c r="E809">
        <v>30.834399913096501</v>
      </c>
      <c r="F809">
        <v>10.5840799391675</v>
      </c>
    </row>
    <row r="810" spans="1:6" x14ac:dyDescent="0.2">
      <c r="A810">
        <v>736787.60770000005</v>
      </c>
      <c r="B810">
        <v>-149.59490299999999</v>
      </c>
      <c r="C810">
        <v>-17.017897000000001</v>
      </c>
      <c r="D810">
        <v>174.381598783351</v>
      </c>
      <c r="E810">
        <v>30.834399913096501</v>
      </c>
      <c r="F810">
        <v>10.5840799391675</v>
      </c>
    </row>
    <row r="811" spans="1:6" x14ac:dyDescent="0.2">
      <c r="A811">
        <v>736787.6078</v>
      </c>
      <c r="B811">
        <v>-149.594922</v>
      </c>
      <c r="C811">
        <v>-17.017890999999999</v>
      </c>
      <c r="D811">
        <v>173.646400135184</v>
      </c>
      <c r="E811">
        <v>30.8</v>
      </c>
      <c r="F811">
        <v>10.5484800101388</v>
      </c>
    </row>
    <row r="812" spans="1:6" x14ac:dyDescent="0.2">
      <c r="A812">
        <v>736787.6078</v>
      </c>
      <c r="B812">
        <v>-149.59493499999999</v>
      </c>
      <c r="C812">
        <v>-17.017886000000001</v>
      </c>
      <c r="D812">
        <v>173.646400135184</v>
      </c>
      <c r="E812">
        <v>30.8</v>
      </c>
      <c r="F812">
        <v>10.5484800101388</v>
      </c>
    </row>
    <row r="813" spans="1:6" x14ac:dyDescent="0.2">
      <c r="A813">
        <v>736787.6078</v>
      </c>
      <c r="B813">
        <v>-149.59494599999999</v>
      </c>
      <c r="C813">
        <v>-17.017883999999999</v>
      </c>
      <c r="D813">
        <v>173.646400135184</v>
      </c>
      <c r="E813">
        <v>30.8</v>
      </c>
      <c r="F813">
        <v>10.5484800101388</v>
      </c>
    </row>
    <row r="814" spans="1:6" x14ac:dyDescent="0.2">
      <c r="A814">
        <v>736787.6078</v>
      </c>
      <c r="B814">
        <v>-149.59495699999999</v>
      </c>
      <c r="C814">
        <v>-17.017882</v>
      </c>
      <c r="D814">
        <v>173.646400135184</v>
      </c>
      <c r="E814">
        <v>30.8</v>
      </c>
      <c r="F814">
        <v>10.5484800101388</v>
      </c>
    </row>
    <row r="815" spans="1:6" x14ac:dyDescent="0.2">
      <c r="A815">
        <v>736787.6078</v>
      </c>
      <c r="B815">
        <v>-149.59497300000001</v>
      </c>
      <c r="C815">
        <v>-17.017875</v>
      </c>
      <c r="D815">
        <v>173.646400135184</v>
      </c>
      <c r="E815">
        <v>30.8</v>
      </c>
      <c r="F815">
        <v>10.5484800101388</v>
      </c>
    </row>
    <row r="816" spans="1:6" x14ac:dyDescent="0.2">
      <c r="A816">
        <v>736787.6078</v>
      </c>
      <c r="B816">
        <v>-149.594988</v>
      </c>
      <c r="C816">
        <v>-17.017872000000001</v>
      </c>
      <c r="D816">
        <v>173.646400135184</v>
      </c>
      <c r="E816">
        <v>30.8</v>
      </c>
      <c r="F816">
        <v>10.5484800101388</v>
      </c>
    </row>
    <row r="817" spans="1:6" x14ac:dyDescent="0.2">
      <c r="A817">
        <v>736787.6078</v>
      </c>
      <c r="B817">
        <v>-149.595001</v>
      </c>
      <c r="C817">
        <v>-17.017869999999998</v>
      </c>
      <c r="D817">
        <v>173.646400135184</v>
      </c>
      <c r="E817">
        <v>30.8</v>
      </c>
      <c r="F817">
        <v>10.5484800101388</v>
      </c>
    </row>
    <row r="818" spans="1:6" x14ac:dyDescent="0.2">
      <c r="A818">
        <v>736787.6078</v>
      </c>
      <c r="B818">
        <v>-149.59501</v>
      </c>
      <c r="C818">
        <v>-17.017862999999998</v>
      </c>
      <c r="D818">
        <v>173.646400135184</v>
      </c>
      <c r="E818">
        <v>30.8</v>
      </c>
      <c r="F818">
        <v>10.5484800101388</v>
      </c>
    </row>
    <row r="819" spans="1:6" x14ac:dyDescent="0.2">
      <c r="A819">
        <v>736787.6078</v>
      </c>
      <c r="B819">
        <v>-149.595021</v>
      </c>
      <c r="C819">
        <v>-17.017858</v>
      </c>
      <c r="D819">
        <v>173.646400135184</v>
      </c>
      <c r="E819">
        <v>30.8</v>
      </c>
      <c r="F819">
        <v>10.5484800101388</v>
      </c>
    </row>
    <row r="820" spans="1:6" x14ac:dyDescent="0.2">
      <c r="A820">
        <v>736787.60789999994</v>
      </c>
      <c r="B820">
        <v>-149.59503100000001</v>
      </c>
      <c r="C820">
        <v>-17.017856999999999</v>
      </c>
      <c r="D820">
        <v>172</v>
      </c>
      <c r="E820">
        <v>30.788800107824699</v>
      </c>
      <c r="F820">
        <v>10.461119989217501</v>
      </c>
    </row>
    <row r="821" spans="1:6" x14ac:dyDescent="0.2">
      <c r="A821">
        <v>736787.60789999994</v>
      </c>
      <c r="B821">
        <v>-149.59504200000001</v>
      </c>
      <c r="C821">
        <v>-17.017856999999999</v>
      </c>
      <c r="D821">
        <v>172</v>
      </c>
      <c r="E821">
        <v>30.788800107824699</v>
      </c>
      <c r="F821">
        <v>10.461119989217501</v>
      </c>
    </row>
    <row r="822" spans="1:6" x14ac:dyDescent="0.2">
      <c r="A822">
        <v>736787.60789999994</v>
      </c>
      <c r="B822">
        <v>-149.595056</v>
      </c>
      <c r="C822">
        <v>-17.017851</v>
      </c>
      <c r="D822">
        <v>172</v>
      </c>
      <c r="E822">
        <v>30.788800107824699</v>
      </c>
      <c r="F822">
        <v>10.461119989217501</v>
      </c>
    </row>
    <row r="823" spans="1:6" x14ac:dyDescent="0.2">
      <c r="A823">
        <v>736787.60789999994</v>
      </c>
      <c r="B823">
        <v>-149.595067</v>
      </c>
      <c r="C823">
        <v>-17.017848999999998</v>
      </c>
      <c r="D823">
        <v>172</v>
      </c>
      <c r="E823">
        <v>30.788800107824699</v>
      </c>
      <c r="F823">
        <v>10.461119989217501</v>
      </c>
    </row>
    <row r="824" spans="1:6" x14ac:dyDescent="0.2">
      <c r="A824">
        <v>736787.60789999994</v>
      </c>
      <c r="B824">
        <v>-149.595077</v>
      </c>
      <c r="C824">
        <v>-17.017848999999998</v>
      </c>
      <c r="D824">
        <v>172</v>
      </c>
      <c r="E824">
        <v>30.788800107824699</v>
      </c>
      <c r="F824">
        <v>10.461119989217501</v>
      </c>
    </row>
    <row r="825" spans="1:6" x14ac:dyDescent="0.2">
      <c r="A825">
        <v>736787.60789999994</v>
      </c>
      <c r="B825">
        <v>-149.59508700000001</v>
      </c>
      <c r="C825">
        <v>-17.017845000000001</v>
      </c>
      <c r="D825">
        <v>172</v>
      </c>
      <c r="E825">
        <v>30.788800107824699</v>
      </c>
      <c r="F825">
        <v>10.461119989217501</v>
      </c>
    </row>
    <row r="826" spans="1:6" x14ac:dyDescent="0.2">
      <c r="A826">
        <v>736787.60789999994</v>
      </c>
      <c r="B826">
        <v>-149.59509800000001</v>
      </c>
      <c r="C826">
        <v>-17.017842000000002</v>
      </c>
      <c r="D826">
        <v>172</v>
      </c>
      <c r="E826">
        <v>30.788800107824699</v>
      </c>
      <c r="F826">
        <v>10.461119989217501</v>
      </c>
    </row>
    <row r="827" spans="1:6" x14ac:dyDescent="0.2">
      <c r="A827">
        <v>736787.60800000001</v>
      </c>
      <c r="B827">
        <v>-149.59511599999999</v>
      </c>
      <c r="C827">
        <v>-17.017842000000002</v>
      </c>
      <c r="D827">
        <v>171.327999485015</v>
      </c>
      <c r="E827">
        <v>30.7</v>
      </c>
      <c r="F827">
        <v>10.427999967813401</v>
      </c>
    </row>
    <row r="828" spans="1:6" x14ac:dyDescent="0.2">
      <c r="A828">
        <v>736787.60800000001</v>
      </c>
      <c r="B828">
        <v>-149.59512699999999</v>
      </c>
      <c r="C828">
        <v>-17.017835000000002</v>
      </c>
      <c r="D828">
        <v>171.327999485015</v>
      </c>
      <c r="E828">
        <v>30.7</v>
      </c>
      <c r="F828">
        <v>10.427999967813401</v>
      </c>
    </row>
    <row r="829" spans="1:6" x14ac:dyDescent="0.2">
      <c r="A829">
        <v>736787.60800000001</v>
      </c>
      <c r="B829">
        <v>-149.59513799999999</v>
      </c>
      <c r="C829">
        <v>-17.017831000000001</v>
      </c>
      <c r="D829">
        <v>171.327999485015</v>
      </c>
      <c r="E829">
        <v>30.7</v>
      </c>
      <c r="F829">
        <v>10.427999967813401</v>
      </c>
    </row>
    <row r="830" spans="1:6" x14ac:dyDescent="0.2">
      <c r="A830">
        <v>736787.60800000001</v>
      </c>
      <c r="B830">
        <v>-149.59514899999999</v>
      </c>
      <c r="C830">
        <v>-17.017828999999999</v>
      </c>
      <c r="D830">
        <v>171.327999485015</v>
      </c>
      <c r="E830">
        <v>30.7</v>
      </c>
      <c r="F830">
        <v>10.427999967813401</v>
      </c>
    </row>
    <row r="831" spans="1:6" x14ac:dyDescent="0.2">
      <c r="A831">
        <v>736787.60800000001</v>
      </c>
      <c r="B831">
        <v>-149.595159</v>
      </c>
      <c r="C831">
        <v>-17.017828000000002</v>
      </c>
      <c r="D831">
        <v>171.327999485015</v>
      </c>
      <c r="E831">
        <v>30.7</v>
      </c>
      <c r="F831">
        <v>10.427999967813401</v>
      </c>
    </row>
    <row r="832" spans="1:6" x14ac:dyDescent="0.2">
      <c r="A832">
        <v>736787.60800000001</v>
      </c>
      <c r="B832">
        <v>-149.595178</v>
      </c>
      <c r="C832">
        <v>-17.01782</v>
      </c>
      <c r="D832">
        <v>171.327999485015</v>
      </c>
      <c r="E832">
        <v>30.7</v>
      </c>
      <c r="F832">
        <v>10.427999967813401</v>
      </c>
    </row>
    <row r="833" spans="1:6" x14ac:dyDescent="0.2">
      <c r="A833">
        <v>736787.60800000001</v>
      </c>
      <c r="B833">
        <v>-149.59519</v>
      </c>
      <c r="C833">
        <v>-17.017817999999998</v>
      </c>
      <c r="D833">
        <v>171.327999485015</v>
      </c>
      <c r="E833">
        <v>30.7</v>
      </c>
      <c r="F833">
        <v>10.427999967813401</v>
      </c>
    </row>
    <row r="834" spans="1:6" x14ac:dyDescent="0.2">
      <c r="A834">
        <v>736787.60809999995</v>
      </c>
      <c r="B834">
        <v>-149.59520000000001</v>
      </c>
      <c r="C834">
        <v>-17.017814999999999</v>
      </c>
      <c r="D834">
        <v>171.5</v>
      </c>
      <c r="E834">
        <v>30.7</v>
      </c>
      <c r="F834">
        <v>10.43</v>
      </c>
    </row>
    <row r="835" spans="1:6" x14ac:dyDescent="0.2">
      <c r="A835">
        <v>736787.60809999995</v>
      </c>
      <c r="B835">
        <v>-149.59520800000001</v>
      </c>
      <c r="C835">
        <v>-17.017806</v>
      </c>
      <c r="D835">
        <v>171.5</v>
      </c>
      <c r="E835">
        <v>30.7</v>
      </c>
      <c r="F835">
        <v>10.43</v>
      </c>
    </row>
    <row r="836" spans="1:6" x14ac:dyDescent="0.2">
      <c r="A836">
        <v>736787.60809999995</v>
      </c>
      <c r="B836">
        <v>-149.59522200000001</v>
      </c>
      <c r="C836">
        <v>-17.017797999999999</v>
      </c>
      <c r="D836">
        <v>171.5</v>
      </c>
      <c r="E836">
        <v>30.7</v>
      </c>
      <c r="F836">
        <v>10.43</v>
      </c>
    </row>
    <row r="837" spans="1:6" x14ac:dyDescent="0.2">
      <c r="A837">
        <v>736787.60809999995</v>
      </c>
      <c r="B837">
        <v>-149.59523100000001</v>
      </c>
      <c r="C837">
        <v>-17.017797999999999</v>
      </c>
      <c r="D837">
        <v>171.5</v>
      </c>
      <c r="E837">
        <v>30.7</v>
      </c>
      <c r="F837">
        <v>10.43</v>
      </c>
    </row>
    <row r="838" spans="1:6" x14ac:dyDescent="0.2">
      <c r="A838">
        <v>736787.60809999995</v>
      </c>
      <c r="B838">
        <v>-149.59524200000001</v>
      </c>
      <c r="C838">
        <v>-17.017796000000001</v>
      </c>
      <c r="D838">
        <v>171.5</v>
      </c>
      <c r="E838">
        <v>30.7</v>
      </c>
      <c r="F838">
        <v>10.43</v>
      </c>
    </row>
    <row r="839" spans="1:6" x14ac:dyDescent="0.2">
      <c r="A839">
        <v>736787.60809999995</v>
      </c>
      <c r="B839">
        <v>-149.59525300000001</v>
      </c>
      <c r="C839">
        <v>-17.017790000000002</v>
      </c>
      <c r="D839">
        <v>171.5</v>
      </c>
      <c r="E839">
        <v>30.7</v>
      </c>
      <c r="F839">
        <v>10.43</v>
      </c>
    </row>
    <row r="840" spans="1:6" x14ac:dyDescent="0.2">
      <c r="A840">
        <v>736787.60809999995</v>
      </c>
      <c r="B840">
        <v>-149.59526600000001</v>
      </c>
      <c r="C840">
        <v>-17.017786999999998</v>
      </c>
      <c r="D840">
        <v>171.5</v>
      </c>
      <c r="E840">
        <v>30.7</v>
      </c>
      <c r="F840">
        <v>10.43</v>
      </c>
    </row>
    <row r="841" spans="1:6" x14ac:dyDescent="0.2">
      <c r="A841">
        <v>736787.60809999995</v>
      </c>
      <c r="B841">
        <v>-149.59527600000001</v>
      </c>
      <c r="C841">
        <v>-17.017786999999998</v>
      </c>
      <c r="D841">
        <v>171.5</v>
      </c>
      <c r="E841">
        <v>30.7</v>
      </c>
      <c r="F841">
        <v>10.43</v>
      </c>
    </row>
    <row r="842" spans="1:6" x14ac:dyDescent="0.2">
      <c r="A842">
        <v>736787.60809999995</v>
      </c>
      <c r="B842">
        <v>-149.59528499999999</v>
      </c>
      <c r="C842">
        <v>-17.017779999999998</v>
      </c>
      <c r="D842">
        <v>171.5</v>
      </c>
      <c r="E842">
        <v>30.7</v>
      </c>
      <c r="F842">
        <v>10.43</v>
      </c>
    </row>
    <row r="843" spans="1:6" x14ac:dyDescent="0.2">
      <c r="A843">
        <v>736787.60820000002</v>
      </c>
      <c r="B843">
        <v>-149.59529499999999</v>
      </c>
      <c r="C843">
        <v>-17.017773999999999</v>
      </c>
      <c r="D843">
        <v>170.963199176026</v>
      </c>
      <c r="E843">
        <v>30.6703998970032</v>
      </c>
      <c r="F843">
        <v>10.411119969101</v>
      </c>
    </row>
    <row r="844" spans="1:6" x14ac:dyDescent="0.2">
      <c r="A844">
        <v>736787.60820000002</v>
      </c>
      <c r="B844">
        <v>-149.595313</v>
      </c>
      <c r="C844">
        <v>-17.017769000000001</v>
      </c>
      <c r="D844">
        <v>170.963199176026</v>
      </c>
      <c r="E844">
        <v>30.6703998970032</v>
      </c>
      <c r="F844">
        <v>10.411119969101</v>
      </c>
    </row>
    <row r="845" spans="1:6" x14ac:dyDescent="0.2">
      <c r="A845">
        <v>736787.60820000002</v>
      </c>
      <c r="B845">
        <v>-149.59533400000001</v>
      </c>
      <c r="C845">
        <v>-17.017761</v>
      </c>
      <c r="D845">
        <v>170.963199176026</v>
      </c>
      <c r="E845">
        <v>30.6703998970032</v>
      </c>
      <c r="F845">
        <v>10.411119969101</v>
      </c>
    </row>
    <row r="846" spans="1:6" x14ac:dyDescent="0.2">
      <c r="A846">
        <v>736787.60820000002</v>
      </c>
      <c r="B846">
        <v>-149.59535</v>
      </c>
      <c r="C846">
        <v>-17.017759000000002</v>
      </c>
      <c r="D846">
        <v>170.963199176026</v>
      </c>
      <c r="E846">
        <v>30.6703998970032</v>
      </c>
      <c r="F846">
        <v>10.411119969101</v>
      </c>
    </row>
    <row r="847" spans="1:6" x14ac:dyDescent="0.2">
      <c r="A847">
        <v>736787.60820000002</v>
      </c>
      <c r="B847">
        <v>-149.59536199999999</v>
      </c>
      <c r="C847">
        <v>-17.017757</v>
      </c>
      <c r="D847">
        <v>170.963199176026</v>
      </c>
      <c r="E847">
        <v>30.6703998970032</v>
      </c>
      <c r="F847">
        <v>10.411119969101</v>
      </c>
    </row>
    <row r="848" spans="1:6" x14ac:dyDescent="0.2">
      <c r="A848">
        <v>736787.60829999996</v>
      </c>
      <c r="B848">
        <v>-149.59537599999999</v>
      </c>
      <c r="C848">
        <v>-17.017757</v>
      </c>
      <c r="D848">
        <v>170.40239990505</v>
      </c>
      <c r="E848">
        <v>30.6</v>
      </c>
      <c r="F848">
        <v>10.380239990505</v>
      </c>
    </row>
    <row r="849" spans="1:6" x14ac:dyDescent="0.2">
      <c r="A849">
        <v>736787.60829999996</v>
      </c>
      <c r="B849">
        <v>-149.595392</v>
      </c>
      <c r="C849">
        <v>-17.017754</v>
      </c>
      <c r="D849">
        <v>170.40239990505</v>
      </c>
      <c r="E849">
        <v>30.6</v>
      </c>
      <c r="F849">
        <v>10.380239990505</v>
      </c>
    </row>
    <row r="850" spans="1:6" x14ac:dyDescent="0.2">
      <c r="A850">
        <v>736787.60829999996</v>
      </c>
      <c r="B850">
        <v>-149.59540100000001</v>
      </c>
      <c r="C850">
        <v>-17.017748999999998</v>
      </c>
      <c r="D850">
        <v>170.40239990505</v>
      </c>
      <c r="E850">
        <v>30.6</v>
      </c>
      <c r="F850">
        <v>10.380239990505</v>
      </c>
    </row>
    <row r="851" spans="1:6" x14ac:dyDescent="0.2">
      <c r="A851">
        <v>736787.60829999996</v>
      </c>
      <c r="B851">
        <v>-149.59541100000001</v>
      </c>
      <c r="C851">
        <v>-17.017748000000001</v>
      </c>
      <c r="D851">
        <v>170.40239990505</v>
      </c>
      <c r="E851">
        <v>30.6</v>
      </c>
      <c r="F851">
        <v>10.380239990505</v>
      </c>
    </row>
    <row r="852" spans="1:6" x14ac:dyDescent="0.2">
      <c r="A852">
        <v>736787.60829999996</v>
      </c>
      <c r="B852">
        <v>-149.595427</v>
      </c>
      <c r="C852">
        <v>-17.017745000000001</v>
      </c>
      <c r="D852">
        <v>170.40239990505</v>
      </c>
      <c r="E852">
        <v>30.6</v>
      </c>
      <c r="F852">
        <v>10.380239990505</v>
      </c>
    </row>
    <row r="853" spans="1:6" x14ac:dyDescent="0.2">
      <c r="A853">
        <v>736787.60829999996</v>
      </c>
      <c r="B853">
        <v>-149.59544</v>
      </c>
      <c r="C853">
        <v>-17.017738999999999</v>
      </c>
      <c r="D853">
        <v>170.40239990505</v>
      </c>
      <c r="E853">
        <v>30.6</v>
      </c>
      <c r="F853">
        <v>10.380239990505</v>
      </c>
    </row>
    <row r="854" spans="1:6" x14ac:dyDescent="0.2">
      <c r="A854">
        <v>736787.60829999996</v>
      </c>
      <c r="B854">
        <v>-149.59545</v>
      </c>
      <c r="C854">
        <v>-17.017737</v>
      </c>
      <c r="D854">
        <v>170.40239990505</v>
      </c>
      <c r="E854">
        <v>30.6</v>
      </c>
      <c r="F854">
        <v>10.380239990505</v>
      </c>
    </row>
    <row r="855" spans="1:6" x14ac:dyDescent="0.2">
      <c r="A855">
        <v>736787.60840000003</v>
      </c>
      <c r="B855">
        <v>-149.59546</v>
      </c>
      <c r="C855">
        <v>-17.017737</v>
      </c>
      <c r="D855">
        <v>170.34959988091001</v>
      </c>
      <c r="E855">
        <v>30.6</v>
      </c>
      <c r="F855">
        <v>10.3824799940455</v>
      </c>
    </row>
    <row r="856" spans="1:6" x14ac:dyDescent="0.2">
      <c r="A856">
        <v>736787.60840000003</v>
      </c>
      <c r="B856">
        <v>-149.59547000000001</v>
      </c>
      <c r="C856">
        <v>-17.017735999999999</v>
      </c>
      <c r="D856">
        <v>170.34959988091001</v>
      </c>
      <c r="E856">
        <v>30.6</v>
      </c>
      <c r="F856">
        <v>10.3824799940455</v>
      </c>
    </row>
    <row r="857" spans="1:6" x14ac:dyDescent="0.2">
      <c r="A857">
        <v>736787.60840000003</v>
      </c>
      <c r="B857">
        <v>-149.59548699999999</v>
      </c>
      <c r="C857">
        <v>-17.017731999999999</v>
      </c>
      <c r="D857">
        <v>170.34959988091001</v>
      </c>
      <c r="E857">
        <v>30.6</v>
      </c>
      <c r="F857">
        <v>10.3824799940455</v>
      </c>
    </row>
    <row r="858" spans="1:6" x14ac:dyDescent="0.2">
      <c r="A858">
        <v>736787.60840000003</v>
      </c>
      <c r="B858">
        <v>-149.59549899999999</v>
      </c>
      <c r="C858">
        <v>-17.01773</v>
      </c>
      <c r="D858">
        <v>170.34959988091001</v>
      </c>
      <c r="E858">
        <v>30.6</v>
      </c>
      <c r="F858">
        <v>10.3824799940455</v>
      </c>
    </row>
    <row r="859" spans="1:6" x14ac:dyDescent="0.2">
      <c r="A859">
        <v>736787.60840000003</v>
      </c>
      <c r="B859">
        <v>-149.59551500000001</v>
      </c>
      <c r="C859">
        <v>-17.017724999999999</v>
      </c>
      <c r="D859">
        <v>170.34959988091001</v>
      </c>
      <c r="E859">
        <v>30.6</v>
      </c>
      <c r="F859">
        <v>10.3824799940455</v>
      </c>
    </row>
    <row r="860" spans="1:6" x14ac:dyDescent="0.2">
      <c r="A860">
        <v>736787.60840000003</v>
      </c>
      <c r="B860">
        <v>-149.59552400000001</v>
      </c>
      <c r="C860">
        <v>-17.017719</v>
      </c>
      <c r="D860">
        <v>170.34959988091001</v>
      </c>
      <c r="E860">
        <v>30.6</v>
      </c>
      <c r="F860">
        <v>10.3824799940455</v>
      </c>
    </row>
    <row r="861" spans="1:6" x14ac:dyDescent="0.2">
      <c r="A861">
        <v>736787.60849999997</v>
      </c>
      <c r="B861">
        <v>-149.595541</v>
      </c>
      <c r="C861">
        <v>-17.017717999999999</v>
      </c>
      <c r="D861">
        <v>169.14400194728299</v>
      </c>
      <c r="E861">
        <v>30.5</v>
      </c>
      <c r="F861">
        <v>10.332800123918</v>
      </c>
    </row>
    <row r="862" spans="1:6" x14ac:dyDescent="0.2">
      <c r="A862">
        <v>736787.60849999997</v>
      </c>
      <c r="B862">
        <v>-149.59556799999999</v>
      </c>
      <c r="C862">
        <v>-17.017717000000001</v>
      </c>
      <c r="D862">
        <v>169.14400194728299</v>
      </c>
      <c r="E862">
        <v>30.5</v>
      </c>
      <c r="F862">
        <v>10.332800123918</v>
      </c>
    </row>
    <row r="863" spans="1:6" x14ac:dyDescent="0.2">
      <c r="A863">
        <v>736787.60849999997</v>
      </c>
      <c r="B863">
        <v>-149.59558000000001</v>
      </c>
      <c r="C863">
        <v>-17.017717999999999</v>
      </c>
      <c r="D863">
        <v>169.14400194728299</v>
      </c>
      <c r="E863">
        <v>30.5</v>
      </c>
      <c r="F863">
        <v>10.332800123918</v>
      </c>
    </row>
    <row r="864" spans="1:6" x14ac:dyDescent="0.2">
      <c r="A864">
        <v>736787.60849999997</v>
      </c>
      <c r="B864">
        <v>-149.59558999999999</v>
      </c>
      <c r="C864">
        <v>-17.017713000000001</v>
      </c>
      <c r="D864">
        <v>169.14400194728299</v>
      </c>
      <c r="E864">
        <v>30.5</v>
      </c>
      <c r="F864">
        <v>10.332800123918</v>
      </c>
    </row>
    <row r="865" spans="1:6" x14ac:dyDescent="0.2">
      <c r="A865">
        <v>736787.60860000004</v>
      </c>
      <c r="B865">
        <v>-149.59560400000001</v>
      </c>
      <c r="C865">
        <v>-17.017709</v>
      </c>
      <c r="D865">
        <v>167.87919988412901</v>
      </c>
      <c r="E865">
        <v>30.5</v>
      </c>
      <c r="F865">
        <v>10.257919988412899</v>
      </c>
    </row>
    <row r="866" spans="1:6" x14ac:dyDescent="0.2">
      <c r="A866">
        <v>736787.60860000004</v>
      </c>
      <c r="B866">
        <v>-149.59562</v>
      </c>
      <c r="C866">
        <v>-17.017702</v>
      </c>
      <c r="D866">
        <v>167.87919988412901</v>
      </c>
      <c r="E866">
        <v>30.5</v>
      </c>
      <c r="F866">
        <v>10.257919988412899</v>
      </c>
    </row>
    <row r="867" spans="1:6" x14ac:dyDescent="0.2">
      <c r="A867">
        <v>736787.60860000004</v>
      </c>
      <c r="B867">
        <v>-149.595631</v>
      </c>
      <c r="C867">
        <v>-17.017699</v>
      </c>
      <c r="D867">
        <v>167.87919988412901</v>
      </c>
      <c r="E867">
        <v>30.5</v>
      </c>
      <c r="F867">
        <v>10.257919988412899</v>
      </c>
    </row>
    <row r="868" spans="1:6" x14ac:dyDescent="0.2">
      <c r="A868">
        <v>736787.60860000004</v>
      </c>
      <c r="B868">
        <v>-149.595643</v>
      </c>
      <c r="C868">
        <v>-17.017696000000001</v>
      </c>
      <c r="D868">
        <v>167.87919988412901</v>
      </c>
      <c r="E868">
        <v>30.5</v>
      </c>
      <c r="F868">
        <v>10.257919988412899</v>
      </c>
    </row>
    <row r="869" spans="1:6" x14ac:dyDescent="0.2">
      <c r="A869">
        <v>736787.60860000004</v>
      </c>
      <c r="B869">
        <v>-149.59565499999999</v>
      </c>
      <c r="C869">
        <v>-17.017696000000001</v>
      </c>
      <c r="D869">
        <v>167.87919988412901</v>
      </c>
      <c r="E869">
        <v>30.5</v>
      </c>
      <c r="F869">
        <v>10.257919988412899</v>
      </c>
    </row>
    <row r="870" spans="1:6" x14ac:dyDescent="0.2">
      <c r="A870">
        <v>736787.60860000004</v>
      </c>
      <c r="B870">
        <v>-149.59567000000001</v>
      </c>
      <c r="C870">
        <v>-17.017692</v>
      </c>
      <c r="D870">
        <v>167.87919988412901</v>
      </c>
      <c r="E870">
        <v>30.5</v>
      </c>
      <c r="F870">
        <v>10.257919988412899</v>
      </c>
    </row>
    <row r="871" spans="1:6" x14ac:dyDescent="0.2">
      <c r="A871">
        <v>736787.60860000004</v>
      </c>
      <c r="B871">
        <v>-149.59568400000001</v>
      </c>
      <c r="C871">
        <v>-17.017690000000002</v>
      </c>
      <c r="D871">
        <v>167.87919988412901</v>
      </c>
      <c r="E871">
        <v>30.5</v>
      </c>
      <c r="F871">
        <v>10.257919988412899</v>
      </c>
    </row>
    <row r="872" spans="1:6" x14ac:dyDescent="0.2">
      <c r="A872">
        <v>736787.60869999998</v>
      </c>
      <c r="B872">
        <v>-149.595699</v>
      </c>
      <c r="C872">
        <v>-17.017686000000001</v>
      </c>
      <c r="D872">
        <v>167.70640008207599</v>
      </c>
      <c r="E872">
        <v>30.4064000820755</v>
      </c>
      <c r="F872">
        <v>10.25</v>
      </c>
    </row>
    <row r="873" spans="1:6" x14ac:dyDescent="0.2">
      <c r="A873">
        <v>736787.60869999998</v>
      </c>
      <c r="B873">
        <v>-149.59571</v>
      </c>
      <c r="C873">
        <v>-17.017679000000001</v>
      </c>
      <c r="D873">
        <v>167.70640008207599</v>
      </c>
      <c r="E873">
        <v>30.4064000820755</v>
      </c>
      <c r="F873">
        <v>10.25</v>
      </c>
    </row>
    <row r="874" spans="1:6" x14ac:dyDescent="0.2">
      <c r="A874">
        <v>736787.60869999998</v>
      </c>
      <c r="B874">
        <v>-149.59572499999999</v>
      </c>
      <c r="C874">
        <v>-17.017676999999999</v>
      </c>
      <c r="D874">
        <v>167.70640008207599</v>
      </c>
      <c r="E874">
        <v>30.4064000820755</v>
      </c>
      <c r="F874">
        <v>10.25</v>
      </c>
    </row>
    <row r="875" spans="1:6" x14ac:dyDescent="0.2">
      <c r="A875">
        <v>736787.60869999998</v>
      </c>
      <c r="B875">
        <v>-149.59574000000001</v>
      </c>
      <c r="C875">
        <v>-17.017669000000001</v>
      </c>
      <c r="D875">
        <v>167.70640008207599</v>
      </c>
      <c r="E875">
        <v>30.4064000820755</v>
      </c>
      <c r="F875">
        <v>10.25</v>
      </c>
    </row>
    <row r="876" spans="1:6" x14ac:dyDescent="0.2">
      <c r="A876">
        <v>736787.60880000005</v>
      </c>
      <c r="B876">
        <v>-149.595753</v>
      </c>
      <c r="C876">
        <v>-17.017662000000001</v>
      </c>
      <c r="D876">
        <v>165.837598043062</v>
      </c>
      <c r="E876">
        <v>30.333599877691299</v>
      </c>
      <c r="F876">
        <v>10.146879902153101</v>
      </c>
    </row>
    <row r="877" spans="1:6" x14ac:dyDescent="0.2">
      <c r="A877">
        <v>736787.60880000005</v>
      </c>
      <c r="B877">
        <v>-149.595765</v>
      </c>
      <c r="C877">
        <v>-17.017655999999999</v>
      </c>
      <c r="D877">
        <v>165.837598043062</v>
      </c>
      <c r="E877">
        <v>30.333599877691299</v>
      </c>
      <c r="F877">
        <v>10.146879902153101</v>
      </c>
    </row>
    <row r="878" spans="1:6" x14ac:dyDescent="0.2">
      <c r="A878">
        <v>736787.60880000005</v>
      </c>
      <c r="B878">
        <v>-149.59577999999999</v>
      </c>
      <c r="C878">
        <v>-17.017651999999998</v>
      </c>
      <c r="D878">
        <v>165.837598043062</v>
      </c>
      <c r="E878">
        <v>30.333599877691299</v>
      </c>
      <c r="F878">
        <v>10.146879902153101</v>
      </c>
    </row>
    <row r="879" spans="1:6" x14ac:dyDescent="0.2">
      <c r="A879">
        <v>736787.60880000005</v>
      </c>
      <c r="B879">
        <v>-149.595798</v>
      </c>
      <c r="C879">
        <v>-17.017645999999999</v>
      </c>
      <c r="D879">
        <v>165.837598043062</v>
      </c>
      <c r="E879">
        <v>30.333599877691299</v>
      </c>
      <c r="F879">
        <v>10.146879902153101</v>
      </c>
    </row>
    <row r="880" spans="1:6" x14ac:dyDescent="0.2">
      <c r="A880">
        <v>736787.60880000005</v>
      </c>
      <c r="B880">
        <v>-149.595811</v>
      </c>
      <c r="C880">
        <v>-17.017638999999999</v>
      </c>
      <c r="D880">
        <v>165.837598043062</v>
      </c>
      <c r="E880">
        <v>30.333599877691299</v>
      </c>
      <c r="F880">
        <v>10.146879902153101</v>
      </c>
    </row>
    <row r="881" spans="1:6" x14ac:dyDescent="0.2">
      <c r="A881">
        <v>736787.60880000005</v>
      </c>
      <c r="B881">
        <v>-149.595821</v>
      </c>
      <c r="C881">
        <v>-17.01764</v>
      </c>
      <c r="D881">
        <v>165.837598043062</v>
      </c>
      <c r="E881">
        <v>30.333599877691299</v>
      </c>
      <c r="F881">
        <v>10.146879902153101</v>
      </c>
    </row>
    <row r="882" spans="1:6" x14ac:dyDescent="0.2">
      <c r="A882">
        <v>736787.60889999999</v>
      </c>
      <c r="B882">
        <v>-149.595831</v>
      </c>
      <c r="C882">
        <v>-17.017637000000001</v>
      </c>
      <c r="D882">
        <v>164.75120105893501</v>
      </c>
      <c r="E882">
        <v>30.3</v>
      </c>
      <c r="F882">
        <v>10.088640060510601</v>
      </c>
    </row>
    <row r="883" spans="1:6" x14ac:dyDescent="0.2">
      <c r="A883">
        <v>736787.60889999999</v>
      </c>
      <c r="B883">
        <v>-149.595842</v>
      </c>
      <c r="C883">
        <v>-17.017631000000002</v>
      </c>
      <c r="D883">
        <v>164.75120105893501</v>
      </c>
      <c r="E883">
        <v>30.3</v>
      </c>
      <c r="F883">
        <v>10.088640060510601</v>
      </c>
    </row>
    <row r="884" spans="1:6" x14ac:dyDescent="0.2">
      <c r="A884">
        <v>736787.60889999999</v>
      </c>
      <c r="B884">
        <v>-149.59585300000001</v>
      </c>
      <c r="C884">
        <v>-17.017628999999999</v>
      </c>
      <c r="D884">
        <v>164.75120105893501</v>
      </c>
      <c r="E884">
        <v>30.3</v>
      </c>
      <c r="F884">
        <v>10.088640060510601</v>
      </c>
    </row>
    <row r="885" spans="1:6" x14ac:dyDescent="0.2">
      <c r="A885">
        <v>736787.60889999999</v>
      </c>
      <c r="B885">
        <v>-149.59587300000001</v>
      </c>
      <c r="C885">
        <v>-17.017620999999998</v>
      </c>
      <c r="D885">
        <v>164.75120105893501</v>
      </c>
      <c r="E885">
        <v>30.3</v>
      </c>
      <c r="F885">
        <v>10.088640060510601</v>
      </c>
    </row>
    <row r="886" spans="1:6" x14ac:dyDescent="0.2">
      <c r="A886">
        <v>736787.60889999999</v>
      </c>
      <c r="B886">
        <v>-149.595887</v>
      </c>
      <c r="C886">
        <v>-17.017612</v>
      </c>
      <c r="D886">
        <v>164.75120105893501</v>
      </c>
      <c r="E886">
        <v>30.3</v>
      </c>
      <c r="F886">
        <v>10.088640060510601</v>
      </c>
    </row>
    <row r="887" spans="1:6" x14ac:dyDescent="0.2">
      <c r="A887">
        <v>736787.60889999999</v>
      </c>
      <c r="B887">
        <v>-149.595899</v>
      </c>
      <c r="C887">
        <v>-17.017610999999999</v>
      </c>
      <c r="D887">
        <v>164.75120105893501</v>
      </c>
      <c r="E887">
        <v>30.3</v>
      </c>
      <c r="F887">
        <v>10.088640060510601</v>
      </c>
    </row>
    <row r="888" spans="1:6" x14ac:dyDescent="0.2">
      <c r="A888">
        <v>736787.60889999999</v>
      </c>
      <c r="B888">
        <v>-149.595911</v>
      </c>
      <c r="C888">
        <v>-17.017610000000001</v>
      </c>
      <c r="D888">
        <v>164.75120105893501</v>
      </c>
      <c r="E888">
        <v>30.3</v>
      </c>
      <c r="F888">
        <v>10.088640060510601</v>
      </c>
    </row>
    <row r="889" spans="1:6" x14ac:dyDescent="0.2">
      <c r="A889">
        <v>736787.60889999999</v>
      </c>
      <c r="B889">
        <v>-149.595921</v>
      </c>
      <c r="C889">
        <v>-17.017606000000001</v>
      </c>
      <c r="D889">
        <v>164.75120105893501</v>
      </c>
      <c r="E889">
        <v>30.3</v>
      </c>
      <c r="F889">
        <v>10.088640060510601</v>
      </c>
    </row>
    <row r="890" spans="1:6" x14ac:dyDescent="0.2">
      <c r="A890">
        <v>736787.60900000005</v>
      </c>
      <c r="B890">
        <v>-149.59592900000001</v>
      </c>
      <c r="C890">
        <v>-17.017600999999999</v>
      </c>
      <c r="D890">
        <v>162.80000000000001</v>
      </c>
      <c r="E890">
        <v>30.3</v>
      </c>
      <c r="F890">
        <v>9.98</v>
      </c>
    </row>
    <row r="891" spans="1:6" x14ac:dyDescent="0.2">
      <c r="A891">
        <v>736787.60900000005</v>
      </c>
      <c r="B891">
        <v>-149.595945</v>
      </c>
      <c r="C891">
        <v>-17.017592</v>
      </c>
      <c r="D891">
        <v>162.80000000000001</v>
      </c>
      <c r="E891">
        <v>30.3</v>
      </c>
      <c r="F891">
        <v>9.98</v>
      </c>
    </row>
    <row r="892" spans="1:6" x14ac:dyDescent="0.2">
      <c r="A892">
        <v>736787.60900000005</v>
      </c>
      <c r="B892">
        <v>-149.59595999999999</v>
      </c>
      <c r="C892">
        <v>-17.017595</v>
      </c>
      <c r="D892">
        <v>162.80000000000001</v>
      </c>
      <c r="E892">
        <v>30.3</v>
      </c>
      <c r="F892">
        <v>9.98</v>
      </c>
    </row>
    <row r="893" spans="1:6" x14ac:dyDescent="0.2">
      <c r="A893">
        <v>736787.60900000005</v>
      </c>
      <c r="B893">
        <v>-149.59597099999999</v>
      </c>
      <c r="C893">
        <v>-17.017590999999999</v>
      </c>
      <c r="D893">
        <v>162.80000000000001</v>
      </c>
      <c r="E893">
        <v>30.3</v>
      </c>
      <c r="F893">
        <v>9.98</v>
      </c>
    </row>
    <row r="894" spans="1:6" x14ac:dyDescent="0.2">
      <c r="A894">
        <v>736787.60900000005</v>
      </c>
      <c r="B894">
        <v>-149.59598199999999</v>
      </c>
      <c r="C894">
        <v>-17.017586999999999</v>
      </c>
      <c r="D894">
        <v>162.80000000000001</v>
      </c>
      <c r="E894">
        <v>30.3</v>
      </c>
      <c r="F894">
        <v>9.98</v>
      </c>
    </row>
    <row r="895" spans="1:6" x14ac:dyDescent="0.2">
      <c r="A895">
        <v>736787.6091</v>
      </c>
      <c r="B895">
        <v>-149.59599800000001</v>
      </c>
      <c r="C895">
        <v>-17.017588</v>
      </c>
      <c r="D895">
        <v>162.630400138402</v>
      </c>
      <c r="E895">
        <v>30.3</v>
      </c>
      <c r="F895">
        <v>9.9630400138401907</v>
      </c>
    </row>
    <row r="896" spans="1:6" x14ac:dyDescent="0.2">
      <c r="A896">
        <v>736787.6091</v>
      </c>
      <c r="B896">
        <v>-149.596011</v>
      </c>
      <c r="C896">
        <v>-17.017582000000001</v>
      </c>
      <c r="D896">
        <v>162.630400138402</v>
      </c>
      <c r="E896">
        <v>30.3</v>
      </c>
      <c r="F896">
        <v>9.9630400138401907</v>
      </c>
    </row>
    <row r="897" spans="1:6" x14ac:dyDescent="0.2">
      <c r="A897">
        <v>736787.6091</v>
      </c>
      <c r="B897">
        <v>-149.596022</v>
      </c>
      <c r="C897">
        <v>-17.017575999999998</v>
      </c>
      <c r="D897">
        <v>162.630400138402</v>
      </c>
      <c r="E897">
        <v>30.3</v>
      </c>
      <c r="F897">
        <v>9.9630400138401907</v>
      </c>
    </row>
    <row r="898" spans="1:6" x14ac:dyDescent="0.2">
      <c r="A898">
        <v>736787.6091</v>
      </c>
      <c r="B898">
        <v>-149.59603999999999</v>
      </c>
      <c r="C898">
        <v>-17.017569999999999</v>
      </c>
      <c r="D898">
        <v>162.630400138402</v>
      </c>
      <c r="E898">
        <v>30.3</v>
      </c>
      <c r="F898">
        <v>9.9630400138401907</v>
      </c>
    </row>
    <row r="899" spans="1:6" x14ac:dyDescent="0.2">
      <c r="A899">
        <v>736787.6091</v>
      </c>
      <c r="B899">
        <v>-149.59604999999999</v>
      </c>
      <c r="C899">
        <v>-17.017565999999999</v>
      </c>
      <c r="D899">
        <v>162.630400138402</v>
      </c>
      <c r="E899">
        <v>30.3</v>
      </c>
      <c r="F899">
        <v>9.9630400138401907</v>
      </c>
    </row>
    <row r="900" spans="1:6" x14ac:dyDescent="0.2">
      <c r="A900">
        <v>736787.6091</v>
      </c>
      <c r="B900">
        <v>-149.596069</v>
      </c>
      <c r="C900">
        <v>-17.017562999999999</v>
      </c>
      <c r="D900">
        <v>162.630400138402</v>
      </c>
      <c r="E900">
        <v>30.3</v>
      </c>
      <c r="F900">
        <v>9.9630400138401907</v>
      </c>
    </row>
    <row r="901" spans="1:6" x14ac:dyDescent="0.2">
      <c r="A901">
        <v>736787.6091</v>
      </c>
      <c r="B901">
        <v>-149.596079</v>
      </c>
      <c r="C901">
        <v>-17.01756</v>
      </c>
      <c r="D901">
        <v>162.630400138402</v>
      </c>
      <c r="E901">
        <v>30.3</v>
      </c>
      <c r="F901">
        <v>9.9630400138401907</v>
      </c>
    </row>
    <row r="902" spans="1:6" x14ac:dyDescent="0.2">
      <c r="A902">
        <v>736787.60919999995</v>
      </c>
      <c r="B902">
        <v>-149.59609399999999</v>
      </c>
      <c r="C902">
        <v>-17.017548000000001</v>
      </c>
      <c r="D902">
        <v>162.9</v>
      </c>
      <c r="E902">
        <v>30.242400065982299</v>
      </c>
      <c r="F902">
        <v>9.9857599934017696</v>
      </c>
    </row>
    <row r="903" spans="1:6" x14ac:dyDescent="0.2">
      <c r="A903">
        <v>736787.60919999995</v>
      </c>
      <c r="B903">
        <v>-149.59611100000001</v>
      </c>
      <c r="C903">
        <v>-17.017545999999999</v>
      </c>
      <c r="D903">
        <v>162.9</v>
      </c>
      <c r="E903">
        <v>30.242400065982299</v>
      </c>
      <c r="F903">
        <v>9.9857599934017696</v>
      </c>
    </row>
    <row r="904" spans="1:6" x14ac:dyDescent="0.2">
      <c r="A904">
        <v>736787.60919999995</v>
      </c>
      <c r="B904">
        <v>-149.59612000000001</v>
      </c>
      <c r="C904">
        <v>-17.017538999999999</v>
      </c>
      <c r="D904">
        <v>162.9</v>
      </c>
      <c r="E904">
        <v>30.242400065982299</v>
      </c>
      <c r="F904">
        <v>9.9857599934017696</v>
      </c>
    </row>
    <row r="905" spans="1:6" x14ac:dyDescent="0.2">
      <c r="A905">
        <v>736787.60919999995</v>
      </c>
      <c r="B905">
        <v>-149.59612799999999</v>
      </c>
      <c r="C905">
        <v>-17.017531999999999</v>
      </c>
      <c r="D905">
        <v>162.9</v>
      </c>
      <c r="E905">
        <v>30.242400065982299</v>
      </c>
      <c r="F905">
        <v>9.9857599934017696</v>
      </c>
    </row>
    <row r="906" spans="1:6" x14ac:dyDescent="0.2">
      <c r="A906">
        <v>736787.60919999995</v>
      </c>
      <c r="B906">
        <v>-149.59614300000001</v>
      </c>
      <c r="C906">
        <v>-17.017527000000001</v>
      </c>
      <c r="D906">
        <v>162.9</v>
      </c>
      <c r="E906">
        <v>30.242400065982299</v>
      </c>
      <c r="F906">
        <v>9.9857599934017696</v>
      </c>
    </row>
    <row r="907" spans="1:6" x14ac:dyDescent="0.2">
      <c r="A907">
        <v>736787.60930000001</v>
      </c>
      <c r="B907">
        <v>-149.59615600000001</v>
      </c>
      <c r="C907">
        <v>-17.017519</v>
      </c>
      <c r="D907">
        <v>162.335200019312</v>
      </c>
      <c r="E907">
        <v>30.2</v>
      </c>
      <c r="F907">
        <v>9.9517600009655993</v>
      </c>
    </row>
    <row r="908" spans="1:6" x14ac:dyDescent="0.2">
      <c r="A908">
        <v>736787.60930000001</v>
      </c>
      <c r="B908">
        <v>-149.59616600000001</v>
      </c>
      <c r="C908">
        <v>-17.017517999999999</v>
      </c>
      <c r="D908">
        <v>162.335200019312</v>
      </c>
      <c r="E908">
        <v>30.2</v>
      </c>
      <c r="F908">
        <v>9.9517600009655993</v>
      </c>
    </row>
    <row r="909" spans="1:6" x14ac:dyDescent="0.2">
      <c r="A909">
        <v>736787.60930000001</v>
      </c>
      <c r="B909">
        <v>-149.59617700000001</v>
      </c>
      <c r="C909">
        <v>-17.017515</v>
      </c>
      <c r="D909">
        <v>162.335200019312</v>
      </c>
      <c r="E909">
        <v>30.2</v>
      </c>
      <c r="F909">
        <v>9.9517600009655993</v>
      </c>
    </row>
    <row r="910" spans="1:6" x14ac:dyDescent="0.2">
      <c r="A910">
        <v>736787.60930000001</v>
      </c>
      <c r="B910">
        <v>-149.596191</v>
      </c>
      <c r="C910">
        <v>-17.017509</v>
      </c>
      <c r="D910">
        <v>162.335200019312</v>
      </c>
      <c r="E910">
        <v>30.2</v>
      </c>
      <c r="F910">
        <v>9.9517600009655993</v>
      </c>
    </row>
    <row r="911" spans="1:6" x14ac:dyDescent="0.2">
      <c r="A911">
        <v>736787.60930000001</v>
      </c>
      <c r="B911">
        <v>-149.596205</v>
      </c>
      <c r="C911">
        <v>-17.017506000000001</v>
      </c>
      <c r="D911">
        <v>162.335200019312</v>
      </c>
      <c r="E911">
        <v>30.2</v>
      </c>
      <c r="F911">
        <v>9.9517600009655993</v>
      </c>
    </row>
    <row r="912" spans="1:6" x14ac:dyDescent="0.2">
      <c r="A912">
        <v>736787.60930000001</v>
      </c>
      <c r="B912">
        <v>-149.59622200000001</v>
      </c>
      <c r="C912">
        <v>-17.017503000000001</v>
      </c>
      <c r="D912">
        <v>162.335200019312</v>
      </c>
      <c r="E912">
        <v>30.2</v>
      </c>
      <c r="F912">
        <v>9.9517600009655993</v>
      </c>
    </row>
    <row r="913" spans="1:6" x14ac:dyDescent="0.2">
      <c r="A913">
        <v>736787.60930000001</v>
      </c>
      <c r="B913">
        <v>-149.596236</v>
      </c>
      <c r="C913">
        <v>-17.017496999999999</v>
      </c>
      <c r="D913">
        <v>162.335200019312</v>
      </c>
      <c r="E913">
        <v>30.2</v>
      </c>
      <c r="F913">
        <v>9.9517600009655993</v>
      </c>
    </row>
    <row r="914" spans="1:6" x14ac:dyDescent="0.2">
      <c r="A914">
        <v>736787.60939999996</v>
      </c>
      <c r="B914">
        <v>-149.596248</v>
      </c>
      <c r="C914">
        <v>-17.017493000000002</v>
      </c>
      <c r="D914">
        <v>160.59680005954499</v>
      </c>
      <c r="E914">
        <v>30.2</v>
      </c>
      <c r="F914">
        <v>9.85</v>
      </c>
    </row>
    <row r="915" spans="1:6" x14ac:dyDescent="0.2">
      <c r="A915">
        <v>736787.60939999996</v>
      </c>
      <c r="B915">
        <v>-149.596262</v>
      </c>
      <c r="C915">
        <v>-17.017493000000002</v>
      </c>
      <c r="D915">
        <v>160.59680005954499</v>
      </c>
      <c r="E915">
        <v>30.2</v>
      </c>
      <c r="F915">
        <v>9.85</v>
      </c>
    </row>
    <row r="916" spans="1:6" x14ac:dyDescent="0.2">
      <c r="A916">
        <v>736787.60939999996</v>
      </c>
      <c r="B916">
        <v>-149.596272</v>
      </c>
      <c r="C916">
        <v>-17.017486999999999</v>
      </c>
      <c r="D916">
        <v>160.59680005954499</v>
      </c>
      <c r="E916">
        <v>30.2</v>
      </c>
      <c r="F916">
        <v>9.85</v>
      </c>
    </row>
    <row r="917" spans="1:6" x14ac:dyDescent="0.2">
      <c r="A917">
        <v>736787.60939999996</v>
      </c>
      <c r="B917">
        <v>-149.59628699999999</v>
      </c>
      <c r="C917">
        <v>-17.017484</v>
      </c>
      <c r="D917">
        <v>160.59680005954499</v>
      </c>
      <c r="E917">
        <v>30.2</v>
      </c>
      <c r="F917">
        <v>9.85</v>
      </c>
    </row>
    <row r="918" spans="1:6" x14ac:dyDescent="0.2">
      <c r="A918">
        <v>736787.60939999996</v>
      </c>
      <c r="B918">
        <v>-149.596296</v>
      </c>
      <c r="C918">
        <v>-17.017479000000002</v>
      </c>
      <c r="D918">
        <v>160.59680005954499</v>
      </c>
      <c r="E918">
        <v>30.2</v>
      </c>
      <c r="F918">
        <v>9.85</v>
      </c>
    </row>
    <row r="919" spans="1:6" x14ac:dyDescent="0.2">
      <c r="A919">
        <v>736787.60939999996</v>
      </c>
      <c r="B919">
        <v>-149.59630899999999</v>
      </c>
      <c r="C919">
        <v>-17.017472000000001</v>
      </c>
      <c r="D919">
        <v>160.59680005954499</v>
      </c>
      <c r="E919">
        <v>30.2</v>
      </c>
      <c r="F919">
        <v>9.85</v>
      </c>
    </row>
    <row r="920" spans="1:6" x14ac:dyDescent="0.2">
      <c r="A920">
        <v>736787.60950000002</v>
      </c>
      <c r="B920">
        <v>-149.59631999999999</v>
      </c>
      <c r="C920">
        <v>-17.017461999999998</v>
      </c>
      <c r="D920">
        <v>159.891999227523</v>
      </c>
      <c r="E920">
        <v>30.2</v>
      </c>
      <c r="F920">
        <v>9.8119999517201695</v>
      </c>
    </row>
    <row r="921" spans="1:6" x14ac:dyDescent="0.2">
      <c r="A921">
        <v>736787.60950000002</v>
      </c>
      <c r="B921">
        <v>-149.59633600000001</v>
      </c>
      <c r="C921">
        <v>-17.01746</v>
      </c>
      <c r="D921">
        <v>159.891999227523</v>
      </c>
      <c r="E921">
        <v>30.2</v>
      </c>
      <c r="F921">
        <v>9.8119999517201695</v>
      </c>
    </row>
    <row r="922" spans="1:6" x14ac:dyDescent="0.2">
      <c r="A922">
        <v>736787.60950000002</v>
      </c>
      <c r="B922">
        <v>-149.59634800000001</v>
      </c>
      <c r="C922">
        <v>-17.017455000000002</v>
      </c>
      <c r="D922">
        <v>159.891999227523</v>
      </c>
      <c r="E922">
        <v>30.2</v>
      </c>
      <c r="F922">
        <v>9.8119999517201695</v>
      </c>
    </row>
    <row r="923" spans="1:6" x14ac:dyDescent="0.2">
      <c r="A923">
        <v>736787.60950000002</v>
      </c>
      <c r="B923">
        <v>-149.59635599999999</v>
      </c>
      <c r="C923">
        <v>-17.01745</v>
      </c>
      <c r="D923">
        <v>159.891999227523</v>
      </c>
      <c r="E923">
        <v>30.2</v>
      </c>
      <c r="F923">
        <v>9.8119999517201695</v>
      </c>
    </row>
    <row r="924" spans="1:6" x14ac:dyDescent="0.2">
      <c r="A924">
        <v>736787.60950000002</v>
      </c>
      <c r="B924">
        <v>-149.59636499999999</v>
      </c>
      <c r="C924">
        <v>-17.017447000000001</v>
      </c>
      <c r="D924">
        <v>159.891999227523</v>
      </c>
      <c r="E924">
        <v>30.2</v>
      </c>
      <c r="F924">
        <v>9.8119999517201695</v>
      </c>
    </row>
    <row r="925" spans="1:6" x14ac:dyDescent="0.2">
      <c r="A925">
        <v>736787.60950000002</v>
      </c>
      <c r="B925">
        <v>-149.59637900000001</v>
      </c>
      <c r="C925">
        <v>-17.017444000000001</v>
      </c>
      <c r="D925">
        <v>159.891999227523</v>
      </c>
      <c r="E925">
        <v>30.2</v>
      </c>
      <c r="F925">
        <v>9.8119999517201695</v>
      </c>
    </row>
    <row r="926" spans="1:6" x14ac:dyDescent="0.2">
      <c r="A926">
        <v>736787.60959999997</v>
      </c>
      <c r="B926">
        <v>-149.596395</v>
      </c>
      <c r="C926">
        <v>-17.017441000000002</v>
      </c>
      <c r="D926">
        <v>159.4</v>
      </c>
      <c r="E926">
        <v>30.2</v>
      </c>
      <c r="F926">
        <v>9.7799999999999994</v>
      </c>
    </row>
    <row r="927" spans="1:6" x14ac:dyDescent="0.2">
      <c r="A927">
        <v>736787.60959999997</v>
      </c>
      <c r="B927">
        <v>-149.59641300000001</v>
      </c>
      <c r="C927">
        <v>-17.017434000000002</v>
      </c>
      <c r="D927">
        <v>159.4</v>
      </c>
      <c r="E927">
        <v>30.2</v>
      </c>
      <c r="F927">
        <v>9.7799999999999994</v>
      </c>
    </row>
    <row r="928" spans="1:6" x14ac:dyDescent="0.2">
      <c r="A928">
        <v>736787.60959999997</v>
      </c>
      <c r="B928">
        <v>-149.59642700000001</v>
      </c>
      <c r="C928">
        <v>-17.017434999999999</v>
      </c>
      <c r="D928">
        <v>159.4</v>
      </c>
      <c r="E928">
        <v>30.2</v>
      </c>
      <c r="F928">
        <v>9.7799999999999994</v>
      </c>
    </row>
    <row r="929" spans="1:6" x14ac:dyDescent="0.2">
      <c r="A929">
        <v>736787.60959999997</v>
      </c>
      <c r="B929">
        <v>-149.59643800000001</v>
      </c>
      <c r="C929">
        <v>-17.017431999999999</v>
      </c>
      <c r="D929">
        <v>159.4</v>
      </c>
      <c r="E929">
        <v>30.2</v>
      </c>
      <c r="F929">
        <v>9.7799999999999994</v>
      </c>
    </row>
    <row r="930" spans="1:6" x14ac:dyDescent="0.2">
      <c r="A930">
        <v>736787.60959999997</v>
      </c>
      <c r="B930">
        <v>-149.59644900000001</v>
      </c>
      <c r="C930">
        <v>-17.017427000000001</v>
      </c>
      <c r="D930">
        <v>159.4</v>
      </c>
      <c r="E930">
        <v>30.2</v>
      </c>
      <c r="F930">
        <v>9.7799999999999994</v>
      </c>
    </row>
    <row r="931" spans="1:6" x14ac:dyDescent="0.2">
      <c r="A931">
        <v>736787.60970000003</v>
      </c>
      <c r="B931">
        <v>-149.596464</v>
      </c>
      <c r="C931">
        <v>-17.017424999999999</v>
      </c>
      <c r="D931">
        <v>159.36479998068799</v>
      </c>
      <c r="E931">
        <v>30.2</v>
      </c>
      <c r="F931">
        <v>9.7843199987125402</v>
      </c>
    </row>
    <row r="932" spans="1:6" x14ac:dyDescent="0.2">
      <c r="A932">
        <v>736787.60970000003</v>
      </c>
      <c r="B932">
        <v>-149.59648100000001</v>
      </c>
      <c r="C932">
        <v>-17.017415</v>
      </c>
      <c r="D932">
        <v>159.36479998068799</v>
      </c>
      <c r="E932">
        <v>30.2</v>
      </c>
      <c r="F932">
        <v>9.7843199987125402</v>
      </c>
    </row>
    <row r="933" spans="1:6" x14ac:dyDescent="0.2">
      <c r="A933">
        <v>736787.60970000003</v>
      </c>
      <c r="B933">
        <v>-149.596496</v>
      </c>
      <c r="C933">
        <v>-17.017412</v>
      </c>
      <c r="D933">
        <v>159.36479998068799</v>
      </c>
      <c r="E933">
        <v>30.2</v>
      </c>
      <c r="F933">
        <v>9.7843199987125402</v>
      </c>
    </row>
    <row r="934" spans="1:6" x14ac:dyDescent="0.2">
      <c r="A934">
        <v>736787.60970000003</v>
      </c>
      <c r="B934">
        <v>-149.59650999999999</v>
      </c>
      <c r="C934">
        <v>-17.017410000000002</v>
      </c>
      <c r="D934">
        <v>159.36479998068799</v>
      </c>
      <c r="E934">
        <v>30.2</v>
      </c>
      <c r="F934">
        <v>9.7843199987125402</v>
      </c>
    </row>
    <row r="935" spans="1:6" x14ac:dyDescent="0.2">
      <c r="A935">
        <v>736787.60979999998</v>
      </c>
      <c r="B935">
        <v>-149.59652399999999</v>
      </c>
      <c r="C935">
        <v>-17.017406000000001</v>
      </c>
      <c r="D935">
        <v>159.6</v>
      </c>
      <c r="E935">
        <v>30.2</v>
      </c>
      <c r="F935">
        <v>9.8000000000000007</v>
      </c>
    </row>
    <row r="936" spans="1:6" x14ac:dyDescent="0.2">
      <c r="A936">
        <v>736787.60979999998</v>
      </c>
      <c r="B936">
        <v>-149.59653599999999</v>
      </c>
      <c r="C936">
        <v>-17.017406000000001</v>
      </c>
      <c r="D936">
        <v>159.6</v>
      </c>
      <c r="E936">
        <v>30.2</v>
      </c>
      <c r="F936">
        <v>9.8000000000000007</v>
      </c>
    </row>
    <row r="937" spans="1:6" x14ac:dyDescent="0.2">
      <c r="A937">
        <v>736787.60979999998</v>
      </c>
      <c r="B937">
        <v>-149.59654800000001</v>
      </c>
      <c r="C937">
        <v>-17.017405</v>
      </c>
      <c r="D937">
        <v>159.6</v>
      </c>
      <c r="E937">
        <v>30.2</v>
      </c>
      <c r="F937">
        <v>9.8000000000000007</v>
      </c>
    </row>
    <row r="938" spans="1:6" x14ac:dyDescent="0.2">
      <c r="A938">
        <v>736787.60979999998</v>
      </c>
      <c r="B938">
        <v>-149.59655799999999</v>
      </c>
      <c r="C938">
        <v>-17.017409000000001</v>
      </c>
      <c r="D938">
        <v>159.6</v>
      </c>
      <c r="E938">
        <v>30.2</v>
      </c>
      <c r="F938">
        <v>9.8000000000000007</v>
      </c>
    </row>
    <row r="939" spans="1:6" x14ac:dyDescent="0.2">
      <c r="A939">
        <v>736787.60979999998</v>
      </c>
      <c r="B939">
        <v>-149.596574</v>
      </c>
      <c r="C939">
        <v>-17.017410999999999</v>
      </c>
      <c r="D939">
        <v>159.6</v>
      </c>
      <c r="E939">
        <v>30.2</v>
      </c>
      <c r="F939">
        <v>9.8000000000000007</v>
      </c>
    </row>
    <row r="940" spans="1:6" x14ac:dyDescent="0.2">
      <c r="A940">
        <v>736787.60979999998</v>
      </c>
      <c r="B940">
        <v>-149.59659400000001</v>
      </c>
      <c r="C940">
        <v>-17.017413999999999</v>
      </c>
      <c r="D940">
        <v>159.6</v>
      </c>
      <c r="E940">
        <v>30.2</v>
      </c>
      <c r="F940">
        <v>9.8000000000000007</v>
      </c>
    </row>
    <row r="941" spans="1:6" x14ac:dyDescent="0.2">
      <c r="A941">
        <v>736787.60990000004</v>
      </c>
      <c r="B941">
        <v>-149.59661199999999</v>
      </c>
      <c r="C941">
        <v>-17.017410000000002</v>
      </c>
      <c r="D941">
        <v>159.73279990826799</v>
      </c>
      <c r="E941">
        <v>30.1327999082683</v>
      </c>
      <c r="F941">
        <v>9.8032799908268302</v>
      </c>
    </row>
    <row r="942" spans="1:6" x14ac:dyDescent="0.2">
      <c r="A942">
        <v>736787.60990000004</v>
      </c>
      <c r="B942">
        <v>-149.59663</v>
      </c>
      <c r="C942">
        <v>-17.017412</v>
      </c>
      <c r="D942">
        <v>159.73279990826799</v>
      </c>
      <c r="E942">
        <v>30.1327999082683</v>
      </c>
      <c r="F942">
        <v>9.8032799908268302</v>
      </c>
    </row>
    <row r="943" spans="1:6" x14ac:dyDescent="0.2">
      <c r="A943">
        <v>736787.60990000004</v>
      </c>
      <c r="B943">
        <v>-149.596644</v>
      </c>
      <c r="C943">
        <v>-17.017412</v>
      </c>
      <c r="D943">
        <v>159.73279990826799</v>
      </c>
      <c r="E943">
        <v>30.1327999082683</v>
      </c>
      <c r="F943">
        <v>9.8032799908268302</v>
      </c>
    </row>
    <row r="944" spans="1:6" x14ac:dyDescent="0.2">
      <c r="A944">
        <v>736787.60990000004</v>
      </c>
      <c r="B944">
        <v>-149.59665200000001</v>
      </c>
      <c r="C944">
        <v>-17.017408</v>
      </c>
      <c r="D944">
        <v>159.73279990826799</v>
      </c>
      <c r="E944">
        <v>30.1327999082683</v>
      </c>
      <c r="F944">
        <v>9.8032799908268302</v>
      </c>
    </row>
    <row r="945" spans="1:6" x14ac:dyDescent="0.2">
      <c r="A945">
        <v>736787.60990000004</v>
      </c>
      <c r="B945">
        <v>-149.59666000000001</v>
      </c>
      <c r="C945">
        <v>-17.017401</v>
      </c>
      <c r="D945">
        <v>159.73279990826799</v>
      </c>
      <c r="E945">
        <v>30.1327999082683</v>
      </c>
      <c r="F945">
        <v>9.8032799908268302</v>
      </c>
    </row>
    <row r="946" spans="1:6" x14ac:dyDescent="0.2">
      <c r="A946">
        <v>736787.61</v>
      </c>
      <c r="B946">
        <v>-149.59667400000001</v>
      </c>
      <c r="C946">
        <v>-17.017398</v>
      </c>
      <c r="D946">
        <v>159.69999999999999</v>
      </c>
      <c r="E946">
        <v>30.2</v>
      </c>
      <c r="F946">
        <v>9.8000000000000007</v>
      </c>
    </row>
    <row r="947" spans="1:6" x14ac:dyDescent="0.2">
      <c r="A947">
        <v>736787.61</v>
      </c>
      <c r="B947">
        <v>-149.59668600000001</v>
      </c>
      <c r="C947">
        <v>-17.017393999999999</v>
      </c>
      <c r="D947">
        <v>159.69999999999999</v>
      </c>
      <c r="E947">
        <v>30.2</v>
      </c>
      <c r="F947">
        <v>9.8000000000000007</v>
      </c>
    </row>
    <row r="948" spans="1:6" x14ac:dyDescent="0.2">
      <c r="A948">
        <v>736787.61</v>
      </c>
      <c r="B948">
        <v>-149.59669600000001</v>
      </c>
      <c r="C948">
        <v>-17.017389000000001</v>
      </c>
      <c r="D948">
        <v>159.69999999999999</v>
      </c>
      <c r="E948">
        <v>30.2</v>
      </c>
      <c r="F948">
        <v>9.8000000000000007</v>
      </c>
    </row>
    <row r="949" spans="1:6" x14ac:dyDescent="0.2">
      <c r="A949">
        <v>736787.61</v>
      </c>
      <c r="B949">
        <v>-149.59670800000001</v>
      </c>
      <c r="C949">
        <v>-17.017385999999998</v>
      </c>
      <c r="D949">
        <v>159.69999999999999</v>
      </c>
      <c r="E949">
        <v>30.2</v>
      </c>
      <c r="F949">
        <v>9.8000000000000007</v>
      </c>
    </row>
    <row r="950" spans="1:6" x14ac:dyDescent="0.2">
      <c r="A950">
        <v>736787.61</v>
      </c>
      <c r="B950">
        <v>-149.59672399999999</v>
      </c>
      <c r="C950">
        <v>-17.017386999999999</v>
      </c>
      <c r="D950">
        <v>159.69999999999999</v>
      </c>
      <c r="E950">
        <v>30.2</v>
      </c>
      <c r="F950">
        <v>9.8000000000000007</v>
      </c>
    </row>
    <row r="951" spans="1:6" x14ac:dyDescent="0.2">
      <c r="A951">
        <v>736787.61</v>
      </c>
      <c r="B951">
        <v>-149.59673599999999</v>
      </c>
      <c r="C951">
        <v>-17.017386999999999</v>
      </c>
      <c r="D951">
        <v>159.69999999999999</v>
      </c>
      <c r="E951">
        <v>30.2</v>
      </c>
      <c r="F951">
        <v>9.8000000000000007</v>
      </c>
    </row>
    <row r="952" spans="1:6" x14ac:dyDescent="0.2">
      <c r="A952">
        <v>736787.61</v>
      </c>
      <c r="B952">
        <v>-149.59674799999999</v>
      </c>
      <c r="C952">
        <v>-17.017388</v>
      </c>
      <c r="D952">
        <v>159.69999999999999</v>
      </c>
      <c r="E952">
        <v>30.2</v>
      </c>
      <c r="F952">
        <v>9.8000000000000007</v>
      </c>
    </row>
    <row r="953" spans="1:6" x14ac:dyDescent="0.2">
      <c r="A953">
        <v>736787.61010000005</v>
      </c>
      <c r="B953">
        <v>-149.596768</v>
      </c>
      <c r="C953">
        <v>-17.017381</v>
      </c>
      <c r="D953">
        <v>160.676800984907</v>
      </c>
      <c r="E953">
        <v>30.2</v>
      </c>
      <c r="F953">
        <v>9.8638400492453293</v>
      </c>
    </row>
    <row r="954" spans="1:6" x14ac:dyDescent="0.2">
      <c r="A954">
        <v>736787.61010000005</v>
      </c>
      <c r="B954">
        <v>-149.59678</v>
      </c>
      <c r="C954">
        <v>-17.017375000000001</v>
      </c>
      <c r="D954">
        <v>160.676800984907</v>
      </c>
      <c r="E954">
        <v>30.2</v>
      </c>
      <c r="F954">
        <v>9.8638400492453293</v>
      </c>
    </row>
    <row r="955" spans="1:6" x14ac:dyDescent="0.2">
      <c r="A955">
        <v>736787.61010000005</v>
      </c>
      <c r="B955">
        <v>-149.59679</v>
      </c>
      <c r="C955">
        <v>-17.017375000000001</v>
      </c>
      <c r="D955">
        <v>160.676800984907</v>
      </c>
      <c r="E955">
        <v>30.2</v>
      </c>
      <c r="F955">
        <v>9.8638400492453293</v>
      </c>
    </row>
    <row r="956" spans="1:6" x14ac:dyDescent="0.2">
      <c r="A956">
        <v>736787.61010000005</v>
      </c>
      <c r="B956">
        <v>-149.59680800000001</v>
      </c>
      <c r="C956">
        <v>-17.017368999999999</v>
      </c>
      <c r="D956">
        <v>160.676800984907</v>
      </c>
      <c r="E956">
        <v>30.2</v>
      </c>
      <c r="F956">
        <v>9.8638400492453293</v>
      </c>
    </row>
    <row r="957" spans="1:6" x14ac:dyDescent="0.2">
      <c r="A957">
        <v>736787.61010000005</v>
      </c>
      <c r="B957">
        <v>-149.596824</v>
      </c>
      <c r="C957">
        <v>-17.017363</v>
      </c>
      <c r="D957">
        <v>160.676800984907</v>
      </c>
      <c r="E957">
        <v>30.2</v>
      </c>
      <c r="F957">
        <v>9.8638400492453293</v>
      </c>
    </row>
    <row r="958" spans="1:6" x14ac:dyDescent="0.2">
      <c r="A958">
        <v>736787.6102</v>
      </c>
      <c r="B958">
        <v>-149.59683200000001</v>
      </c>
      <c r="C958">
        <v>-17.01736</v>
      </c>
      <c r="D958">
        <v>161.19999999999999</v>
      </c>
      <c r="E958">
        <v>30.2</v>
      </c>
      <c r="F958">
        <v>9.8985599966204205</v>
      </c>
    </row>
    <row r="959" spans="1:6" x14ac:dyDescent="0.2">
      <c r="A959">
        <v>736787.6102</v>
      </c>
      <c r="B959">
        <v>-149.59684799999999</v>
      </c>
      <c r="C959">
        <v>-17.017346</v>
      </c>
      <c r="D959">
        <v>161.19999999999999</v>
      </c>
      <c r="E959">
        <v>30.2</v>
      </c>
      <c r="F959">
        <v>9.8985599966204205</v>
      </c>
    </row>
    <row r="960" spans="1:6" x14ac:dyDescent="0.2">
      <c r="A960">
        <v>736787.6102</v>
      </c>
      <c r="B960">
        <v>-149.59686199999999</v>
      </c>
      <c r="C960">
        <v>-17.017346</v>
      </c>
      <c r="D960">
        <v>161.19999999999999</v>
      </c>
      <c r="E960">
        <v>30.2</v>
      </c>
      <c r="F960">
        <v>9.8985599966204205</v>
      </c>
    </row>
    <row r="961" spans="1:6" x14ac:dyDescent="0.2">
      <c r="A961">
        <v>736787.6102</v>
      </c>
      <c r="B961">
        <v>-149.59687199999999</v>
      </c>
      <c r="C961">
        <v>-17.017340999999998</v>
      </c>
      <c r="D961">
        <v>161.19999999999999</v>
      </c>
      <c r="E961">
        <v>30.2</v>
      </c>
      <c r="F961">
        <v>9.8985599966204205</v>
      </c>
    </row>
    <row r="962" spans="1:6" x14ac:dyDescent="0.2">
      <c r="A962">
        <v>736787.6102</v>
      </c>
      <c r="B962">
        <v>-149.59688399999999</v>
      </c>
      <c r="C962">
        <v>-17.017337999999999</v>
      </c>
      <c r="D962">
        <v>161.19999999999999</v>
      </c>
      <c r="E962">
        <v>30.2</v>
      </c>
      <c r="F962">
        <v>9.8985599966204205</v>
      </c>
    </row>
    <row r="963" spans="1:6" x14ac:dyDescent="0.2">
      <c r="A963">
        <v>736787.6102</v>
      </c>
      <c r="B963">
        <v>-149.59690000000001</v>
      </c>
      <c r="C963">
        <v>-17.017332</v>
      </c>
      <c r="D963">
        <v>161.19999999999999</v>
      </c>
      <c r="E963">
        <v>30.2</v>
      </c>
      <c r="F963">
        <v>9.8985599966204205</v>
      </c>
    </row>
    <row r="964" spans="1:6" x14ac:dyDescent="0.2">
      <c r="A964">
        <v>736787.61029999994</v>
      </c>
      <c r="B964">
        <v>-149.596912</v>
      </c>
      <c r="C964">
        <v>-17.017325</v>
      </c>
      <c r="D964">
        <v>161.4</v>
      </c>
      <c r="E964">
        <v>30.1416001142623</v>
      </c>
      <c r="F964">
        <v>9.91</v>
      </c>
    </row>
    <row r="965" spans="1:6" x14ac:dyDescent="0.2">
      <c r="A965">
        <v>736787.61029999994</v>
      </c>
      <c r="B965">
        <v>-149.59692000000001</v>
      </c>
      <c r="C965">
        <v>-17.017319000000001</v>
      </c>
      <c r="D965">
        <v>161.4</v>
      </c>
      <c r="E965">
        <v>30.1416001142623</v>
      </c>
      <c r="F965">
        <v>9.91</v>
      </c>
    </row>
    <row r="966" spans="1:6" x14ac:dyDescent="0.2">
      <c r="A966">
        <v>736787.61029999994</v>
      </c>
      <c r="B966">
        <v>-149.59693200000001</v>
      </c>
      <c r="C966">
        <v>-17.017313000000001</v>
      </c>
      <c r="D966">
        <v>161.4</v>
      </c>
      <c r="E966">
        <v>30.1416001142623</v>
      </c>
      <c r="F966">
        <v>9.91</v>
      </c>
    </row>
    <row r="967" spans="1:6" x14ac:dyDescent="0.2">
      <c r="A967">
        <v>736787.61029999994</v>
      </c>
      <c r="B967">
        <v>-149.59694400000001</v>
      </c>
      <c r="C967">
        <v>-17.017316000000001</v>
      </c>
      <c r="D967">
        <v>161.4</v>
      </c>
      <c r="E967">
        <v>30.1416001142623</v>
      </c>
      <c r="F967">
        <v>9.91</v>
      </c>
    </row>
    <row r="968" spans="1:6" x14ac:dyDescent="0.2">
      <c r="A968">
        <v>736787.61040000001</v>
      </c>
      <c r="B968">
        <v>-149.59695400000001</v>
      </c>
      <c r="C968">
        <v>-17.017316000000001</v>
      </c>
      <c r="D968">
        <v>161.30640008207601</v>
      </c>
      <c r="E968">
        <v>30.1</v>
      </c>
      <c r="F968">
        <v>9.9037600054716997</v>
      </c>
    </row>
    <row r="969" spans="1:6" x14ac:dyDescent="0.2">
      <c r="A969">
        <v>736787.61040000001</v>
      </c>
      <c r="B969">
        <v>-149.59697199999999</v>
      </c>
      <c r="C969">
        <v>-17.017308</v>
      </c>
      <c r="D969">
        <v>161.30640008207601</v>
      </c>
      <c r="E969">
        <v>30.1</v>
      </c>
      <c r="F969">
        <v>9.9037600054716997</v>
      </c>
    </row>
    <row r="970" spans="1:6" x14ac:dyDescent="0.2">
      <c r="A970">
        <v>736787.61040000001</v>
      </c>
      <c r="B970">
        <v>-149.59699000000001</v>
      </c>
      <c r="C970">
        <v>-17.017306999999999</v>
      </c>
      <c r="D970">
        <v>161.30640008207601</v>
      </c>
      <c r="E970">
        <v>30.1</v>
      </c>
      <c r="F970">
        <v>9.9037600054716997</v>
      </c>
    </row>
    <row r="971" spans="1:6" x14ac:dyDescent="0.2">
      <c r="A971">
        <v>736787.61040000001</v>
      </c>
      <c r="B971">
        <v>-149.597002</v>
      </c>
      <c r="C971">
        <v>-17.017302000000001</v>
      </c>
      <c r="D971">
        <v>161.30640008207601</v>
      </c>
      <c r="E971">
        <v>30.1</v>
      </c>
      <c r="F971">
        <v>9.9037600054716997</v>
      </c>
    </row>
    <row r="972" spans="1:6" x14ac:dyDescent="0.2">
      <c r="A972">
        <v>736787.61040000001</v>
      </c>
      <c r="B972">
        <v>-149.597016</v>
      </c>
      <c r="C972">
        <v>-17.017298</v>
      </c>
      <c r="D972">
        <v>161.30640008207601</v>
      </c>
      <c r="E972">
        <v>30.1</v>
      </c>
      <c r="F972">
        <v>9.9037600054716997</v>
      </c>
    </row>
    <row r="973" spans="1:6" x14ac:dyDescent="0.2">
      <c r="A973">
        <v>736787.61040000001</v>
      </c>
      <c r="B973">
        <v>-149.597026</v>
      </c>
      <c r="C973">
        <v>-17.017298</v>
      </c>
      <c r="D973">
        <v>161.30640008207601</v>
      </c>
      <c r="E973">
        <v>30.1</v>
      </c>
      <c r="F973">
        <v>9.9037600054716997</v>
      </c>
    </row>
    <row r="974" spans="1:6" x14ac:dyDescent="0.2">
      <c r="A974">
        <v>736787.61049999995</v>
      </c>
      <c r="B974">
        <v>-149.59704300000001</v>
      </c>
      <c r="C974">
        <v>-17.017289000000002</v>
      </c>
      <c r="D974">
        <v>160.69999999999999</v>
      </c>
      <c r="E974">
        <v>30.1</v>
      </c>
      <c r="F974">
        <v>9.8703999975860093</v>
      </c>
    </row>
    <row r="975" spans="1:6" x14ac:dyDescent="0.2">
      <c r="A975">
        <v>736787.61049999995</v>
      </c>
      <c r="B975">
        <v>-149.59705400000001</v>
      </c>
      <c r="C975">
        <v>-17.017285000000001</v>
      </c>
      <c r="D975">
        <v>160.69999999999999</v>
      </c>
      <c r="E975">
        <v>30.1</v>
      </c>
      <c r="F975">
        <v>9.8703999975860093</v>
      </c>
    </row>
    <row r="976" spans="1:6" x14ac:dyDescent="0.2">
      <c r="A976">
        <v>736787.61049999995</v>
      </c>
      <c r="B976">
        <v>-149.59706700000001</v>
      </c>
      <c r="C976">
        <v>-17.017282000000002</v>
      </c>
      <c r="D976">
        <v>160.69999999999999</v>
      </c>
      <c r="E976">
        <v>30.1</v>
      </c>
      <c r="F976">
        <v>9.8703999975860093</v>
      </c>
    </row>
    <row r="977" spans="1:6" x14ac:dyDescent="0.2">
      <c r="A977">
        <v>736787.61049999995</v>
      </c>
      <c r="B977">
        <v>-149.59707700000001</v>
      </c>
      <c r="C977">
        <v>-17.017275000000001</v>
      </c>
      <c r="D977">
        <v>160.69999999999999</v>
      </c>
      <c r="E977">
        <v>30.1</v>
      </c>
      <c r="F977">
        <v>9.8703999975860093</v>
      </c>
    </row>
    <row r="978" spans="1:6" x14ac:dyDescent="0.2">
      <c r="A978">
        <v>736787.61049999995</v>
      </c>
      <c r="B978">
        <v>-149.59708900000001</v>
      </c>
      <c r="C978">
        <v>-17.017271000000001</v>
      </c>
      <c r="D978">
        <v>160.69999999999999</v>
      </c>
      <c r="E978">
        <v>30.1</v>
      </c>
      <c r="F978">
        <v>9.8703999975860093</v>
      </c>
    </row>
    <row r="979" spans="1:6" x14ac:dyDescent="0.2">
      <c r="A979">
        <v>736787.61049999995</v>
      </c>
      <c r="B979">
        <v>-149.59709899999999</v>
      </c>
      <c r="C979">
        <v>-17.01727</v>
      </c>
      <c r="D979">
        <v>160.69999999999999</v>
      </c>
      <c r="E979">
        <v>30.1</v>
      </c>
      <c r="F979">
        <v>9.8703999975860093</v>
      </c>
    </row>
    <row r="980" spans="1:6" x14ac:dyDescent="0.2">
      <c r="A980">
        <v>736787.61049999995</v>
      </c>
      <c r="B980">
        <v>-149.59710799999999</v>
      </c>
      <c r="C980">
        <v>-17.017267</v>
      </c>
      <c r="D980">
        <v>160.69999999999999</v>
      </c>
      <c r="E980">
        <v>30.1</v>
      </c>
      <c r="F980">
        <v>9.8703999975860093</v>
      </c>
    </row>
    <row r="981" spans="1:6" x14ac:dyDescent="0.2">
      <c r="A981">
        <v>736787.61060000001</v>
      </c>
      <c r="B981">
        <v>-149.59711899999999</v>
      </c>
      <c r="C981">
        <v>-17.017261999999999</v>
      </c>
      <c r="D981">
        <v>160.39280008368499</v>
      </c>
      <c r="E981">
        <v>30.1</v>
      </c>
      <c r="F981">
        <v>9.8569600062763705</v>
      </c>
    </row>
    <row r="982" spans="1:6" x14ac:dyDescent="0.2">
      <c r="A982">
        <v>736787.61060000001</v>
      </c>
      <c r="B982">
        <v>-149.597127</v>
      </c>
      <c r="C982">
        <v>-17.017257000000001</v>
      </c>
      <c r="D982">
        <v>160.39280008368499</v>
      </c>
      <c r="E982">
        <v>30.1</v>
      </c>
      <c r="F982">
        <v>9.8569600062763705</v>
      </c>
    </row>
    <row r="983" spans="1:6" x14ac:dyDescent="0.2">
      <c r="A983">
        <v>736787.61060000001</v>
      </c>
      <c r="B983">
        <v>-149.59714099999999</v>
      </c>
      <c r="C983">
        <v>-17.017244999999999</v>
      </c>
      <c r="D983">
        <v>160.39280008368499</v>
      </c>
      <c r="E983">
        <v>30.1</v>
      </c>
      <c r="F983">
        <v>9.8569600062763705</v>
      </c>
    </row>
    <row r="984" spans="1:6" x14ac:dyDescent="0.2">
      <c r="A984">
        <v>736787.61060000001</v>
      </c>
      <c r="B984">
        <v>-149.59715199999999</v>
      </c>
      <c r="C984">
        <v>-17.017242</v>
      </c>
      <c r="D984">
        <v>160.39280008368499</v>
      </c>
      <c r="E984">
        <v>30.1</v>
      </c>
      <c r="F984">
        <v>9.8569600062763705</v>
      </c>
    </row>
    <row r="985" spans="1:6" x14ac:dyDescent="0.2">
      <c r="A985">
        <v>736787.61060000001</v>
      </c>
      <c r="B985">
        <v>-149.59717000000001</v>
      </c>
      <c r="C985">
        <v>-17.017234999999999</v>
      </c>
      <c r="D985">
        <v>160.39280008368499</v>
      </c>
      <c r="E985">
        <v>30.1</v>
      </c>
      <c r="F985">
        <v>9.8569600062763705</v>
      </c>
    </row>
    <row r="986" spans="1:6" x14ac:dyDescent="0.2">
      <c r="A986">
        <v>736787.61060000001</v>
      </c>
      <c r="B986">
        <v>-149.59718599999999</v>
      </c>
      <c r="C986">
        <v>-17.017232</v>
      </c>
      <c r="D986">
        <v>160.39280008368499</v>
      </c>
      <c r="E986">
        <v>30.1</v>
      </c>
      <c r="F986">
        <v>9.8569600062763705</v>
      </c>
    </row>
    <row r="987" spans="1:6" x14ac:dyDescent="0.2">
      <c r="A987">
        <v>736787.61069999996</v>
      </c>
      <c r="B987">
        <v>-149.597196</v>
      </c>
      <c r="C987">
        <v>-17.017230000000001</v>
      </c>
      <c r="D987">
        <v>159.4</v>
      </c>
      <c r="E987">
        <v>30.1</v>
      </c>
      <c r="F987">
        <v>9.8000000000000007</v>
      </c>
    </row>
    <row r="988" spans="1:6" x14ac:dyDescent="0.2">
      <c r="A988">
        <v>736787.61069999996</v>
      </c>
      <c r="B988">
        <v>-149.59720899999999</v>
      </c>
      <c r="C988">
        <v>-17.017226999999998</v>
      </c>
      <c r="D988">
        <v>159.4</v>
      </c>
      <c r="E988">
        <v>30.1</v>
      </c>
      <c r="F988">
        <v>9.8000000000000007</v>
      </c>
    </row>
    <row r="989" spans="1:6" x14ac:dyDescent="0.2">
      <c r="A989">
        <v>736787.61069999996</v>
      </c>
      <c r="B989">
        <v>-149.59722099999999</v>
      </c>
      <c r="C989">
        <v>-17.017216999999999</v>
      </c>
      <c r="D989">
        <v>159.4</v>
      </c>
      <c r="E989">
        <v>30.1</v>
      </c>
      <c r="F989">
        <v>9.8000000000000007</v>
      </c>
    </row>
    <row r="990" spans="1:6" x14ac:dyDescent="0.2">
      <c r="A990">
        <v>736787.61069999996</v>
      </c>
      <c r="B990">
        <v>-149.59723700000001</v>
      </c>
      <c r="C990">
        <v>-17.017206999999999</v>
      </c>
      <c r="D990">
        <v>159.4</v>
      </c>
      <c r="E990">
        <v>30.1</v>
      </c>
      <c r="F990">
        <v>9.8000000000000007</v>
      </c>
    </row>
    <row r="991" spans="1:6" x14ac:dyDescent="0.2">
      <c r="A991">
        <v>736787.61069999996</v>
      </c>
      <c r="B991">
        <v>-149.59724800000001</v>
      </c>
      <c r="C991">
        <v>-17.017206000000002</v>
      </c>
      <c r="D991">
        <v>159.4</v>
      </c>
      <c r="E991">
        <v>30.1</v>
      </c>
      <c r="F991">
        <v>9.8000000000000007</v>
      </c>
    </row>
    <row r="992" spans="1:6" x14ac:dyDescent="0.2">
      <c r="A992">
        <v>736787.61080000002</v>
      </c>
      <c r="B992">
        <v>-149.59725700000001</v>
      </c>
      <c r="C992">
        <v>-17.017199999999999</v>
      </c>
      <c r="D992">
        <v>159.73279990826799</v>
      </c>
      <c r="E992">
        <v>30.1</v>
      </c>
      <c r="F992">
        <v>9.8155199938845605</v>
      </c>
    </row>
    <row r="993" spans="1:6" x14ac:dyDescent="0.2">
      <c r="A993">
        <v>736787.61080000002</v>
      </c>
      <c r="B993">
        <v>-149.59726499999999</v>
      </c>
      <c r="C993">
        <v>-17.017192999999999</v>
      </c>
      <c r="D993">
        <v>159.73279990826799</v>
      </c>
      <c r="E993">
        <v>30.1</v>
      </c>
      <c r="F993">
        <v>9.8155199938845605</v>
      </c>
    </row>
    <row r="994" spans="1:6" x14ac:dyDescent="0.2">
      <c r="A994">
        <v>736787.61080000002</v>
      </c>
      <c r="B994">
        <v>-149.597274</v>
      </c>
      <c r="C994">
        <v>-17.017188999999998</v>
      </c>
      <c r="D994">
        <v>159.73279990826799</v>
      </c>
      <c r="E994">
        <v>30.1</v>
      </c>
      <c r="F994">
        <v>9.8155199938845605</v>
      </c>
    </row>
    <row r="995" spans="1:6" x14ac:dyDescent="0.2">
      <c r="A995">
        <v>736787.61080000002</v>
      </c>
      <c r="B995">
        <v>-149.597284</v>
      </c>
      <c r="C995">
        <v>-17.017185999999999</v>
      </c>
      <c r="D995">
        <v>159.73279990826799</v>
      </c>
      <c r="E995">
        <v>30.1</v>
      </c>
      <c r="F995">
        <v>9.8155199938845605</v>
      </c>
    </row>
    <row r="996" spans="1:6" x14ac:dyDescent="0.2">
      <c r="A996">
        <v>736787.61080000002</v>
      </c>
      <c r="B996">
        <v>-149.59730099999999</v>
      </c>
      <c r="C996">
        <v>-17.017181999999998</v>
      </c>
      <c r="D996">
        <v>159.73279990826799</v>
      </c>
      <c r="E996">
        <v>30.1</v>
      </c>
      <c r="F996">
        <v>9.8155199938845605</v>
      </c>
    </row>
    <row r="997" spans="1:6" x14ac:dyDescent="0.2">
      <c r="A997">
        <v>736787.61080000002</v>
      </c>
      <c r="B997">
        <v>-149.59731300000001</v>
      </c>
      <c r="C997">
        <v>-17.017177</v>
      </c>
      <c r="D997">
        <v>159.73279990826799</v>
      </c>
      <c r="E997">
        <v>30.1</v>
      </c>
      <c r="F997">
        <v>9.8155199938845605</v>
      </c>
    </row>
    <row r="998" spans="1:6" x14ac:dyDescent="0.2">
      <c r="A998">
        <v>736787.61089999997</v>
      </c>
      <c r="B998">
        <v>-149.59732299999999</v>
      </c>
      <c r="C998">
        <v>-17.017174000000001</v>
      </c>
      <c r="D998">
        <v>159.5</v>
      </c>
      <c r="E998">
        <v>30.1</v>
      </c>
      <c r="F998">
        <v>9.8000000000000007</v>
      </c>
    </row>
    <row r="999" spans="1:6" x14ac:dyDescent="0.2">
      <c r="A999">
        <v>736787.61089999997</v>
      </c>
      <c r="B999">
        <v>-149.59733299999999</v>
      </c>
      <c r="C999">
        <v>-17.017171000000001</v>
      </c>
      <c r="D999">
        <v>159.5</v>
      </c>
      <c r="E999">
        <v>30.1</v>
      </c>
      <c r="F999">
        <v>9.8000000000000007</v>
      </c>
    </row>
    <row r="1000" spans="1:6" x14ac:dyDescent="0.2">
      <c r="A1000">
        <v>736787.61089999997</v>
      </c>
      <c r="B1000">
        <v>-149.597342</v>
      </c>
      <c r="C1000">
        <v>-17.017168999999999</v>
      </c>
      <c r="D1000">
        <v>159.5</v>
      </c>
      <c r="E1000">
        <v>30.1</v>
      </c>
      <c r="F1000">
        <v>9.8000000000000007</v>
      </c>
    </row>
    <row r="1001" spans="1:6" x14ac:dyDescent="0.2">
      <c r="A1001">
        <v>736787.61109999998</v>
      </c>
      <c r="B1001">
        <v>-149.59734599999999</v>
      </c>
      <c r="C1001">
        <v>-17.017171999999999</v>
      </c>
      <c r="D1001">
        <v>157.19999999999999</v>
      </c>
      <c r="E1001">
        <v>30</v>
      </c>
      <c r="F1001">
        <v>9.6740799995172004</v>
      </c>
    </row>
    <row r="1002" spans="1:6" x14ac:dyDescent="0.2">
      <c r="A1002">
        <v>736787.61109999998</v>
      </c>
      <c r="B1002">
        <v>-149.597351</v>
      </c>
      <c r="C1002">
        <v>-17.017160000000001</v>
      </c>
      <c r="D1002">
        <v>157.19999999999999</v>
      </c>
      <c r="E1002">
        <v>30</v>
      </c>
      <c r="F1002">
        <v>9.6740799995172004</v>
      </c>
    </row>
    <row r="1003" spans="1:6" x14ac:dyDescent="0.2">
      <c r="A1003">
        <v>736787.61120000004</v>
      </c>
      <c r="B1003">
        <v>-149.59736000000001</v>
      </c>
      <c r="C1003">
        <v>-17.017147999999999</v>
      </c>
      <c r="D1003">
        <v>156.20479981975501</v>
      </c>
      <c r="E1003">
        <v>30</v>
      </c>
      <c r="F1003">
        <v>9.6145599897003002</v>
      </c>
    </row>
    <row r="1004" spans="1:6" x14ac:dyDescent="0.2">
      <c r="A1004">
        <v>736787.61120000004</v>
      </c>
      <c r="B1004">
        <v>-149.59737200000001</v>
      </c>
      <c r="C1004">
        <v>-17.017142</v>
      </c>
      <c r="D1004">
        <v>156.20479981975501</v>
      </c>
      <c r="E1004">
        <v>30</v>
      </c>
      <c r="F1004">
        <v>9.6145599897003002</v>
      </c>
    </row>
    <row r="1005" spans="1:6" x14ac:dyDescent="0.2">
      <c r="A1005">
        <v>736787.61120000004</v>
      </c>
      <c r="B1005">
        <v>-149.597388</v>
      </c>
      <c r="C1005">
        <v>-17.017126000000001</v>
      </c>
      <c r="D1005">
        <v>156.20479981975501</v>
      </c>
      <c r="E1005">
        <v>30</v>
      </c>
      <c r="F1005">
        <v>9.6145599897003002</v>
      </c>
    </row>
    <row r="1006" spans="1:6" x14ac:dyDescent="0.2">
      <c r="A1006">
        <v>736787.61129999999</v>
      </c>
      <c r="B1006">
        <v>-149.59740400000001</v>
      </c>
      <c r="C1006">
        <v>-17.017118</v>
      </c>
      <c r="D1006">
        <v>155.6</v>
      </c>
      <c r="E1006">
        <v>30</v>
      </c>
      <c r="F1006">
        <v>9.58</v>
      </c>
    </row>
    <row r="1007" spans="1:6" x14ac:dyDescent="0.2">
      <c r="A1007">
        <v>736787.61129999999</v>
      </c>
      <c r="B1007">
        <v>-149.59741399999999</v>
      </c>
      <c r="C1007">
        <v>-17.017113999999999</v>
      </c>
      <c r="D1007">
        <v>155.6</v>
      </c>
      <c r="E1007">
        <v>30</v>
      </c>
      <c r="F1007">
        <v>9.58</v>
      </c>
    </row>
    <row r="1008" spans="1:6" x14ac:dyDescent="0.2">
      <c r="A1008">
        <v>736787.61129999999</v>
      </c>
      <c r="B1008">
        <v>-149.59742700000001</v>
      </c>
      <c r="C1008">
        <v>-17.017111</v>
      </c>
      <c r="D1008">
        <v>155.6</v>
      </c>
      <c r="E1008">
        <v>30</v>
      </c>
      <c r="F1008">
        <v>9.58</v>
      </c>
    </row>
    <row r="1009" spans="1:6" x14ac:dyDescent="0.2">
      <c r="A1009">
        <v>736787.61129999999</v>
      </c>
      <c r="B1009">
        <v>-149.59743599999999</v>
      </c>
      <c r="C1009">
        <v>-17.017105000000001</v>
      </c>
      <c r="D1009">
        <v>155.6</v>
      </c>
      <c r="E1009">
        <v>30</v>
      </c>
      <c r="F1009">
        <v>9.58</v>
      </c>
    </row>
    <row r="1010" spans="1:6" x14ac:dyDescent="0.2">
      <c r="A1010">
        <v>736787.61129999999</v>
      </c>
      <c r="B1010">
        <v>-149.59744599999999</v>
      </c>
      <c r="C1010">
        <v>-17.017099000000002</v>
      </c>
      <c r="D1010">
        <v>155.6</v>
      </c>
      <c r="E1010">
        <v>30</v>
      </c>
      <c r="F1010">
        <v>9.58</v>
      </c>
    </row>
    <row r="1011" spans="1:6" x14ac:dyDescent="0.2">
      <c r="A1011">
        <v>736787.61140000005</v>
      </c>
      <c r="B1011">
        <v>-149.597464</v>
      </c>
      <c r="C1011">
        <v>-17.017088999999999</v>
      </c>
      <c r="D1011">
        <v>154.32639900865399</v>
      </c>
      <c r="E1011">
        <v>29.940799876081801</v>
      </c>
      <c r="F1011">
        <v>9.5063199504327098</v>
      </c>
    </row>
    <row r="1012" spans="1:6" x14ac:dyDescent="0.2">
      <c r="A1012">
        <v>736787.61140000005</v>
      </c>
      <c r="B1012">
        <v>-149.59747899999999</v>
      </c>
      <c r="C1012">
        <v>-17.017081000000001</v>
      </c>
      <c r="D1012">
        <v>154.32639900865399</v>
      </c>
      <c r="E1012">
        <v>29.940799876081801</v>
      </c>
      <c r="F1012">
        <v>9.5063199504327098</v>
      </c>
    </row>
    <row r="1013" spans="1:6" x14ac:dyDescent="0.2">
      <c r="A1013">
        <v>736787.61140000005</v>
      </c>
      <c r="B1013">
        <v>-149.59748999999999</v>
      </c>
      <c r="C1013">
        <v>-17.017074999999998</v>
      </c>
      <c r="D1013">
        <v>154.32639900865399</v>
      </c>
      <c r="E1013">
        <v>29.940799876081801</v>
      </c>
      <c r="F1013">
        <v>9.5063199504327098</v>
      </c>
    </row>
    <row r="1014" spans="1:6" x14ac:dyDescent="0.2">
      <c r="A1014">
        <v>736787.61140000005</v>
      </c>
      <c r="B1014">
        <v>-149.59750199999999</v>
      </c>
      <c r="C1014">
        <v>-17.017061999999999</v>
      </c>
      <c r="D1014">
        <v>154.32639900865399</v>
      </c>
      <c r="E1014">
        <v>29.940799876081801</v>
      </c>
      <c r="F1014">
        <v>9.5063199504327098</v>
      </c>
    </row>
    <row r="1015" spans="1:6" x14ac:dyDescent="0.2">
      <c r="A1015">
        <v>736787.61140000005</v>
      </c>
      <c r="B1015">
        <v>-149.59751</v>
      </c>
      <c r="C1015">
        <v>-17.017057000000001</v>
      </c>
      <c r="D1015">
        <v>154.32639900865399</v>
      </c>
      <c r="E1015">
        <v>29.940799876081801</v>
      </c>
      <c r="F1015">
        <v>9.5063199504327098</v>
      </c>
    </row>
    <row r="1016" spans="1:6" x14ac:dyDescent="0.2">
      <c r="A1016">
        <v>736787.6115</v>
      </c>
      <c r="B1016">
        <v>-149.59752599999999</v>
      </c>
      <c r="C1016">
        <v>-17.017049</v>
      </c>
      <c r="D1016">
        <v>153.87199996781399</v>
      </c>
      <c r="E1016">
        <v>29.9</v>
      </c>
      <c r="F1016">
        <v>9.4803999975860105</v>
      </c>
    </row>
    <row r="1017" spans="1:6" x14ac:dyDescent="0.2">
      <c r="A1017">
        <v>736787.6115</v>
      </c>
      <c r="B1017">
        <v>-149.59753900000001</v>
      </c>
      <c r="C1017">
        <v>-17.017042</v>
      </c>
      <c r="D1017">
        <v>153.87199996781399</v>
      </c>
      <c r="E1017">
        <v>29.9</v>
      </c>
      <c r="F1017">
        <v>9.4803999975860105</v>
      </c>
    </row>
    <row r="1018" spans="1:6" x14ac:dyDescent="0.2">
      <c r="A1018">
        <v>736787.6115</v>
      </c>
      <c r="B1018">
        <v>-149.597555</v>
      </c>
      <c r="C1018">
        <v>-17.017033999999999</v>
      </c>
      <c r="D1018">
        <v>153.87199996781399</v>
      </c>
      <c r="E1018">
        <v>29.9</v>
      </c>
      <c r="F1018">
        <v>9.4803999975860105</v>
      </c>
    </row>
    <row r="1019" spans="1:6" x14ac:dyDescent="0.2">
      <c r="A1019">
        <v>736787.6115</v>
      </c>
      <c r="B1019">
        <v>-149.597565</v>
      </c>
      <c r="C1019">
        <v>-17.017032</v>
      </c>
      <c r="D1019">
        <v>153.87199996781399</v>
      </c>
      <c r="E1019">
        <v>29.9</v>
      </c>
      <c r="F1019">
        <v>9.4803999975860105</v>
      </c>
    </row>
    <row r="1020" spans="1:6" x14ac:dyDescent="0.2">
      <c r="A1020">
        <v>736787.6115</v>
      </c>
      <c r="B1020">
        <v>-149.59757300000001</v>
      </c>
      <c r="C1020">
        <v>-17.017025</v>
      </c>
      <c r="D1020">
        <v>153.87199996781399</v>
      </c>
      <c r="E1020">
        <v>29.9</v>
      </c>
      <c r="F1020">
        <v>9.4803999975860105</v>
      </c>
    </row>
    <row r="1021" spans="1:6" x14ac:dyDescent="0.2">
      <c r="A1021">
        <v>736787.6115</v>
      </c>
      <c r="B1021">
        <v>-149.59758299999999</v>
      </c>
      <c r="C1021">
        <v>-17.017018</v>
      </c>
      <c r="D1021">
        <v>153.87199996781399</v>
      </c>
      <c r="E1021">
        <v>29.9</v>
      </c>
      <c r="F1021">
        <v>9.4803999975860105</v>
      </c>
    </row>
    <row r="1022" spans="1:6" x14ac:dyDescent="0.2">
      <c r="A1022">
        <v>736787.61159999995</v>
      </c>
      <c r="B1022">
        <v>-149.59759600000001</v>
      </c>
      <c r="C1022">
        <v>-17.017012000000001</v>
      </c>
      <c r="D1022">
        <v>152.80000000000001</v>
      </c>
      <c r="E1022">
        <v>29.9</v>
      </c>
      <c r="F1022">
        <v>9.42</v>
      </c>
    </row>
    <row r="1023" spans="1:6" x14ac:dyDescent="0.2">
      <c r="A1023">
        <v>736787.61159999995</v>
      </c>
      <c r="B1023">
        <v>-149.59760499999999</v>
      </c>
      <c r="C1023">
        <v>-17.017008000000001</v>
      </c>
      <c r="D1023">
        <v>152.80000000000001</v>
      </c>
      <c r="E1023">
        <v>29.9</v>
      </c>
      <c r="F1023">
        <v>9.42</v>
      </c>
    </row>
    <row r="1024" spans="1:6" x14ac:dyDescent="0.2">
      <c r="A1024">
        <v>736787.61159999995</v>
      </c>
      <c r="B1024">
        <v>-149.59761599999999</v>
      </c>
      <c r="C1024">
        <v>-17.017008000000001</v>
      </c>
      <c r="D1024">
        <v>152.80000000000001</v>
      </c>
      <c r="E1024">
        <v>29.9</v>
      </c>
      <c r="F1024">
        <v>9.42</v>
      </c>
    </row>
    <row r="1025" spans="1:6" x14ac:dyDescent="0.2">
      <c r="A1025">
        <v>736787.61159999995</v>
      </c>
      <c r="B1025">
        <v>-149.59762900000001</v>
      </c>
      <c r="C1025">
        <v>-17.016998999999998</v>
      </c>
      <c r="D1025">
        <v>152.80000000000001</v>
      </c>
      <c r="E1025">
        <v>29.9</v>
      </c>
      <c r="F1025">
        <v>9.42</v>
      </c>
    </row>
    <row r="1026" spans="1:6" x14ac:dyDescent="0.2">
      <c r="A1026">
        <v>736787.61159999995</v>
      </c>
      <c r="B1026">
        <v>-149.59763899999999</v>
      </c>
      <c r="C1026">
        <v>-17.016999999999999</v>
      </c>
      <c r="D1026">
        <v>152.80000000000001</v>
      </c>
      <c r="E1026">
        <v>29.9</v>
      </c>
      <c r="F1026">
        <v>9.42</v>
      </c>
    </row>
    <row r="1027" spans="1:6" x14ac:dyDescent="0.2">
      <c r="A1027">
        <v>736787.61170000001</v>
      </c>
      <c r="B1027">
        <v>-149.59766200000001</v>
      </c>
      <c r="C1027">
        <v>-17.016995000000001</v>
      </c>
      <c r="D1027">
        <v>151.32559972480601</v>
      </c>
      <c r="E1027">
        <v>29.9</v>
      </c>
      <c r="F1027">
        <v>9.3346399840676906</v>
      </c>
    </row>
    <row r="1028" spans="1:6" x14ac:dyDescent="0.2">
      <c r="A1028">
        <v>736787.61170000001</v>
      </c>
      <c r="B1028">
        <v>-149.59768299999999</v>
      </c>
      <c r="C1028">
        <v>-17.016995999999999</v>
      </c>
      <c r="D1028">
        <v>151.32559972480601</v>
      </c>
      <c r="E1028">
        <v>29.9</v>
      </c>
      <c r="F1028">
        <v>9.3346399840676906</v>
      </c>
    </row>
    <row r="1029" spans="1:6" x14ac:dyDescent="0.2">
      <c r="A1029">
        <v>736787.61170000001</v>
      </c>
      <c r="B1029">
        <v>-149.59769900000001</v>
      </c>
      <c r="C1029">
        <v>-17.016988999999999</v>
      </c>
      <c r="D1029">
        <v>151.32559972480601</v>
      </c>
      <c r="E1029">
        <v>29.9</v>
      </c>
      <c r="F1029">
        <v>9.3346399840676906</v>
      </c>
    </row>
    <row r="1030" spans="1:6" x14ac:dyDescent="0.2">
      <c r="A1030">
        <v>736787.61170000001</v>
      </c>
      <c r="B1030">
        <v>-149.59771000000001</v>
      </c>
      <c r="C1030">
        <v>-17.016987</v>
      </c>
      <c r="D1030">
        <v>151.32559972480601</v>
      </c>
      <c r="E1030">
        <v>29.9</v>
      </c>
      <c r="F1030">
        <v>9.3346399840676906</v>
      </c>
    </row>
    <row r="1031" spans="1:6" x14ac:dyDescent="0.2">
      <c r="A1031">
        <v>736787.61170000001</v>
      </c>
      <c r="B1031">
        <v>-149.59771900000001</v>
      </c>
      <c r="C1031">
        <v>-17.016987</v>
      </c>
      <c r="D1031">
        <v>151.32559972480601</v>
      </c>
      <c r="E1031">
        <v>29.9</v>
      </c>
      <c r="F1031">
        <v>9.3346399840676906</v>
      </c>
    </row>
    <row r="1032" spans="1:6" x14ac:dyDescent="0.2">
      <c r="A1032">
        <v>736787.61170000001</v>
      </c>
      <c r="B1032">
        <v>-149.59772899999999</v>
      </c>
      <c r="C1032">
        <v>-17.016984000000001</v>
      </c>
      <c r="D1032">
        <v>151.32559972480601</v>
      </c>
      <c r="E1032">
        <v>29.9</v>
      </c>
      <c r="F1032">
        <v>9.3346399840676906</v>
      </c>
    </row>
    <row r="1033" spans="1:6" x14ac:dyDescent="0.2">
      <c r="A1033">
        <v>736787.61179999996</v>
      </c>
      <c r="B1033">
        <v>-149.59774899999999</v>
      </c>
      <c r="C1033">
        <v>-17.01698</v>
      </c>
      <c r="D1033">
        <v>148.697600492454</v>
      </c>
      <c r="E1033">
        <v>29.8</v>
      </c>
      <c r="F1033">
        <v>9.1798400328302794</v>
      </c>
    </row>
    <row r="1034" spans="1:6" x14ac:dyDescent="0.2">
      <c r="A1034">
        <v>736787.61179999996</v>
      </c>
      <c r="B1034">
        <v>-149.59775999999999</v>
      </c>
      <c r="C1034">
        <v>-17.016978000000002</v>
      </c>
      <c r="D1034">
        <v>148.697600492454</v>
      </c>
      <c r="E1034">
        <v>29.8</v>
      </c>
      <c r="F1034">
        <v>9.1798400328302794</v>
      </c>
    </row>
    <row r="1035" spans="1:6" x14ac:dyDescent="0.2">
      <c r="A1035">
        <v>736787.61179999996</v>
      </c>
      <c r="B1035">
        <v>-149.59776500000001</v>
      </c>
      <c r="C1035">
        <v>-17.016971999999999</v>
      </c>
      <c r="D1035">
        <v>148.697600492454</v>
      </c>
      <c r="E1035">
        <v>29.8</v>
      </c>
      <c r="F1035">
        <v>9.1798400328302794</v>
      </c>
    </row>
    <row r="1036" spans="1:6" x14ac:dyDescent="0.2">
      <c r="A1036">
        <v>736787.61179999996</v>
      </c>
      <c r="B1036">
        <v>-149.59777700000001</v>
      </c>
      <c r="C1036">
        <v>-17.016973</v>
      </c>
      <c r="D1036">
        <v>148.697600492454</v>
      </c>
      <c r="E1036">
        <v>29.8</v>
      </c>
      <c r="F1036">
        <v>9.1798400328302794</v>
      </c>
    </row>
    <row r="1037" spans="1:6" x14ac:dyDescent="0.2">
      <c r="A1037">
        <v>736787.61179999996</v>
      </c>
      <c r="B1037">
        <v>-149.59779499999999</v>
      </c>
      <c r="C1037">
        <v>-17.016966</v>
      </c>
      <c r="D1037">
        <v>148.697600492454</v>
      </c>
      <c r="E1037">
        <v>29.8</v>
      </c>
      <c r="F1037">
        <v>9.1798400328302794</v>
      </c>
    </row>
    <row r="1038" spans="1:6" x14ac:dyDescent="0.2">
      <c r="A1038">
        <v>736787.61190000002</v>
      </c>
      <c r="B1038">
        <v>-149.59780599999999</v>
      </c>
      <c r="C1038">
        <v>-17.016967999999999</v>
      </c>
      <c r="D1038">
        <v>148.191199811709</v>
      </c>
      <c r="E1038">
        <v>29.8</v>
      </c>
      <c r="F1038">
        <v>9.1483999895393904</v>
      </c>
    </row>
    <row r="1039" spans="1:6" x14ac:dyDescent="0.2">
      <c r="A1039">
        <v>736787.61190000002</v>
      </c>
      <c r="B1039">
        <v>-149.597824</v>
      </c>
      <c r="C1039">
        <v>-17.016967999999999</v>
      </c>
      <c r="D1039">
        <v>148.191199811709</v>
      </c>
      <c r="E1039">
        <v>29.8</v>
      </c>
      <c r="F1039">
        <v>9.1483999895393904</v>
      </c>
    </row>
    <row r="1040" spans="1:6" x14ac:dyDescent="0.2">
      <c r="A1040">
        <v>736787.61190000002</v>
      </c>
      <c r="B1040">
        <v>-149.59783400000001</v>
      </c>
      <c r="C1040">
        <v>-17.016964999999999</v>
      </c>
      <c r="D1040">
        <v>148.191199811709</v>
      </c>
      <c r="E1040">
        <v>29.8</v>
      </c>
      <c r="F1040">
        <v>9.1483999895393904</v>
      </c>
    </row>
    <row r="1041" spans="1:6" x14ac:dyDescent="0.2">
      <c r="A1041">
        <v>736787.61190000002</v>
      </c>
      <c r="B1041">
        <v>-149.59784500000001</v>
      </c>
      <c r="C1041">
        <v>-17.016969</v>
      </c>
      <c r="D1041">
        <v>148.191199811709</v>
      </c>
      <c r="E1041">
        <v>29.8</v>
      </c>
      <c r="F1041">
        <v>9.1483999895393904</v>
      </c>
    </row>
    <row r="1042" spans="1:6" x14ac:dyDescent="0.2">
      <c r="A1042">
        <v>736787.61190000002</v>
      </c>
      <c r="B1042">
        <v>-149.59785500000001</v>
      </c>
      <c r="C1042">
        <v>-17.016971999999999</v>
      </c>
      <c r="D1042">
        <v>148.191199811709</v>
      </c>
      <c r="E1042">
        <v>29.8</v>
      </c>
      <c r="F1042">
        <v>9.1483999895393904</v>
      </c>
    </row>
    <row r="1043" spans="1:6" x14ac:dyDescent="0.2">
      <c r="A1043">
        <v>736787.61190000002</v>
      </c>
      <c r="B1043">
        <v>-149.597872</v>
      </c>
      <c r="C1043">
        <v>-17.016967999999999</v>
      </c>
      <c r="D1043">
        <v>148.191199811709</v>
      </c>
      <c r="E1043">
        <v>29.8</v>
      </c>
      <c r="F1043">
        <v>9.1483999895393904</v>
      </c>
    </row>
    <row r="1044" spans="1:6" x14ac:dyDescent="0.2">
      <c r="A1044">
        <v>736787.61199999996</v>
      </c>
      <c r="B1044">
        <v>-149.59788900000001</v>
      </c>
      <c r="C1044">
        <v>-17.016970000000001</v>
      </c>
      <c r="D1044">
        <v>146.92399990344001</v>
      </c>
      <c r="E1044">
        <v>29.8</v>
      </c>
      <c r="F1044">
        <v>9.0715999935626908</v>
      </c>
    </row>
    <row r="1045" spans="1:6" x14ac:dyDescent="0.2">
      <c r="A1045">
        <v>736787.61199999996</v>
      </c>
      <c r="B1045">
        <v>-149.59789799999999</v>
      </c>
      <c r="C1045">
        <v>-17.016973</v>
      </c>
      <c r="D1045">
        <v>146.92399990344001</v>
      </c>
      <c r="E1045">
        <v>29.8</v>
      </c>
      <c r="F1045">
        <v>9.0715999935626908</v>
      </c>
    </row>
    <row r="1046" spans="1:6" x14ac:dyDescent="0.2">
      <c r="A1046">
        <v>736787.61199999996</v>
      </c>
      <c r="B1046">
        <v>-149.59791000000001</v>
      </c>
      <c r="C1046">
        <v>-17.016978000000002</v>
      </c>
      <c r="D1046">
        <v>146.92399990344001</v>
      </c>
      <c r="E1046">
        <v>29.8</v>
      </c>
      <c r="F1046">
        <v>9.0715999935626908</v>
      </c>
    </row>
    <row r="1047" spans="1:6" x14ac:dyDescent="0.2">
      <c r="A1047">
        <v>736787.61199999996</v>
      </c>
      <c r="B1047">
        <v>-149.59791899999999</v>
      </c>
      <c r="C1047">
        <v>-17.016981000000001</v>
      </c>
      <c r="D1047">
        <v>146.92399990344001</v>
      </c>
      <c r="E1047">
        <v>29.8</v>
      </c>
      <c r="F1047">
        <v>9.0715999935626908</v>
      </c>
    </row>
    <row r="1048" spans="1:6" x14ac:dyDescent="0.2">
      <c r="A1048">
        <v>736787.61199999996</v>
      </c>
      <c r="B1048">
        <v>-149.59793500000001</v>
      </c>
      <c r="C1048">
        <v>-17.016981999999999</v>
      </c>
      <c r="D1048">
        <v>146.92399990344001</v>
      </c>
      <c r="E1048">
        <v>29.8</v>
      </c>
      <c r="F1048">
        <v>9.0715999935626908</v>
      </c>
    </row>
    <row r="1049" spans="1:6" x14ac:dyDescent="0.2">
      <c r="A1049">
        <v>736787.61199999996</v>
      </c>
      <c r="B1049">
        <v>-149.59794500000001</v>
      </c>
      <c r="C1049">
        <v>-17.01698</v>
      </c>
      <c r="D1049">
        <v>146.92399990344001</v>
      </c>
      <c r="E1049">
        <v>29.8</v>
      </c>
      <c r="F1049">
        <v>9.0715999935626908</v>
      </c>
    </row>
    <row r="1050" spans="1:6" x14ac:dyDescent="0.2">
      <c r="A1050">
        <v>736787.61210000003</v>
      </c>
      <c r="B1050">
        <v>-149.59795800000001</v>
      </c>
      <c r="C1050">
        <v>-17.016978999999999</v>
      </c>
      <c r="D1050">
        <v>146.39359991792401</v>
      </c>
      <c r="E1050">
        <v>29.8</v>
      </c>
      <c r="F1050">
        <v>9.0446799958962192</v>
      </c>
    </row>
    <row r="1051" spans="1:6" x14ac:dyDescent="0.2">
      <c r="A1051">
        <v>736787.61210000003</v>
      </c>
      <c r="B1051">
        <v>-149.597971</v>
      </c>
      <c r="C1051">
        <v>-17.016978000000002</v>
      </c>
      <c r="D1051">
        <v>146.39359991792401</v>
      </c>
      <c r="E1051">
        <v>29.8</v>
      </c>
      <c r="F1051">
        <v>9.0446799958962192</v>
      </c>
    </row>
    <row r="1052" spans="1:6" x14ac:dyDescent="0.2">
      <c r="A1052">
        <v>736787.61210000003</v>
      </c>
      <c r="B1052">
        <v>-149.597982</v>
      </c>
      <c r="C1052">
        <v>-17.016976</v>
      </c>
      <c r="D1052">
        <v>146.39359991792401</v>
      </c>
      <c r="E1052">
        <v>29.8</v>
      </c>
      <c r="F1052">
        <v>9.0446799958962192</v>
      </c>
    </row>
    <row r="1053" spans="1:6" x14ac:dyDescent="0.2">
      <c r="A1053">
        <v>736787.61210000003</v>
      </c>
      <c r="B1053">
        <v>-149.597994</v>
      </c>
      <c r="C1053">
        <v>-17.016971000000002</v>
      </c>
      <c r="D1053">
        <v>146.39359991792401</v>
      </c>
      <c r="E1053">
        <v>29.8</v>
      </c>
      <c r="F1053">
        <v>9.0446799958962192</v>
      </c>
    </row>
    <row r="1054" spans="1:6" x14ac:dyDescent="0.2">
      <c r="A1054">
        <v>736787.61219999997</v>
      </c>
      <c r="B1054">
        <v>-149.59800899999999</v>
      </c>
      <c r="C1054">
        <v>-17.016969</v>
      </c>
      <c r="D1054">
        <v>145.6</v>
      </c>
      <c r="E1054">
        <v>29.758399969422801</v>
      </c>
      <c r="F1054">
        <v>8.9941600030577202</v>
      </c>
    </row>
    <row r="1055" spans="1:6" x14ac:dyDescent="0.2">
      <c r="A1055">
        <v>736787.61219999997</v>
      </c>
      <c r="B1055">
        <v>-149.59802400000001</v>
      </c>
      <c r="C1055">
        <v>-17.016966</v>
      </c>
      <c r="D1055">
        <v>145.6</v>
      </c>
      <c r="E1055">
        <v>29.758399969422801</v>
      </c>
      <c r="F1055">
        <v>8.9941600030577202</v>
      </c>
    </row>
    <row r="1056" spans="1:6" x14ac:dyDescent="0.2">
      <c r="A1056">
        <v>736787.61219999997</v>
      </c>
      <c r="B1056">
        <v>-149.59803700000001</v>
      </c>
      <c r="C1056">
        <v>-17.016959</v>
      </c>
      <c r="D1056">
        <v>145.6</v>
      </c>
      <c r="E1056">
        <v>29.758399969422801</v>
      </c>
      <c r="F1056">
        <v>8.9941600030577202</v>
      </c>
    </row>
    <row r="1057" spans="1:6" x14ac:dyDescent="0.2">
      <c r="A1057">
        <v>736787.61219999997</v>
      </c>
      <c r="B1057">
        <v>-149.598051</v>
      </c>
      <c r="C1057">
        <v>-17.016953999999998</v>
      </c>
      <c r="D1057">
        <v>145.6</v>
      </c>
      <c r="E1057">
        <v>29.758399969422801</v>
      </c>
      <c r="F1057">
        <v>8.9941600030577202</v>
      </c>
    </row>
    <row r="1058" spans="1:6" x14ac:dyDescent="0.2">
      <c r="A1058">
        <v>736787.61230000004</v>
      </c>
      <c r="B1058">
        <v>-149.59806499999999</v>
      </c>
      <c r="C1058">
        <v>-17.016950000000001</v>
      </c>
      <c r="D1058">
        <v>144.855999662042</v>
      </c>
      <c r="E1058">
        <v>29.7</v>
      </c>
      <c r="F1058">
        <v>8.9513599797225094</v>
      </c>
    </row>
    <row r="1059" spans="1:6" x14ac:dyDescent="0.2">
      <c r="A1059">
        <v>736787.61230000004</v>
      </c>
      <c r="B1059">
        <v>-149.59807599999999</v>
      </c>
      <c r="C1059">
        <v>-17.016943999999999</v>
      </c>
      <c r="D1059">
        <v>144.855999662042</v>
      </c>
      <c r="E1059">
        <v>29.7</v>
      </c>
      <c r="F1059">
        <v>8.9513599797225094</v>
      </c>
    </row>
    <row r="1060" spans="1:6" x14ac:dyDescent="0.2">
      <c r="A1060">
        <v>736787.61230000004</v>
      </c>
      <c r="B1060">
        <v>-149.598086</v>
      </c>
      <c r="C1060">
        <v>-17.016935</v>
      </c>
      <c r="D1060">
        <v>144.855999662042</v>
      </c>
      <c r="E1060">
        <v>29.7</v>
      </c>
      <c r="F1060">
        <v>8.9513599797225094</v>
      </c>
    </row>
    <row r="1061" spans="1:6" x14ac:dyDescent="0.2">
      <c r="A1061">
        <v>736787.61230000004</v>
      </c>
      <c r="B1061">
        <v>-149.598096</v>
      </c>
      <c r="C1061">
        <v>-17.016933999999999</v>
      </c>
      <c r="D1061">
        <v>144.855999662042</v>
      </c>
      <c r="E1061">
        <v>29.7</v>
      </c>
      <c r="F1061">
        <v>8.9513599797225094</v>
      </c>
    </row>
    <row r="1062" spans="1:6" x14ac:dyDescent="0.2">
      <c r="A1062">
        <v>736787.61239999998</v>
      </c>
      <c r="B1062">
        <v>-149.598107</v>
      </c>
      <c r="C1062">
        <v>-17.016922000000001</v>
      </c>
      <c r="D1062">
        <v>144</v>
      </c>
      <c r="E1062">
        <v>29.7</v>
      </c>
      <c r="F1062">
        <v>8.9</v>
      </c>
    </row>
    <row r="1063" spans="1:6" x14ac:dyDescent="0.2">
      <c r="A1063">
        <v>736787.61239999998</v>
      </c>
      <c r="B1063">
        <v>-149.59812299999999</v>
      </c>
      <c r="C1063">
        <v>-17.016916999999999</v>
      </c>
      <c r="D1063">
        <v>144</v>
      </c>
      <c r="E1063">
        <v>29.7</v>
      </c>
      <c r="F1063">
        <v>8.9</v>
      </c>
    </row>
    <row r="1064" spans="1:6" x14ac:dyDescent="0.2">
      <c r="A1064">
        <v>736787.61239999998</v>
      </c>
      <c r="B1064">
        <v>-149.59813700000001</v>
      </c>
      <c r="C1064">
        <v>-17.016902000000002</v>
      </c>
      <c r="D1064">
        <v>144</v>
      </c>
      <c r="E1064">
        <v>29.7</v>
      </c>
      <c r="F1064">
        <v>8.9</v>
      </c>
    </row>
    <row r="1065" spans="1:6" x14ac:dyDescent="0.2">
      <c r="A1065">
        <v>736787.61239999998</v>
      </c>
      <c r="B1065">
        <v>-149.59814900000001</v>
      </c>
      <c r="C1065">
        <v>-17.0169</v>
      </c>
      <c r="D1065">
        <v>144</v>
      </c>
      <c r="E1065">
        <v>29.7</v>
      </c>
      <c r="F1065">
        <v>8.9</v>
      </c>
    </row>
    <row r="1066" spans="1:6" x14ac:dyDescent="0.2">
      <c r="A1066">
        <v>736787.61250000005</v>
      </c>
      <c r="B1066">
        <v>-149.59815800000001</v>
      </c>
      <c r="C1066">
        <v>-17.016894000000001</v>
      </c>
      <c r="D1066">
        <v>142.65999983906801</v>
      </c>
      <c r="E1066">
        <v>29.7</v>
      </c>
      <c r="F1066">
        <v>8.8219999879300701</v>
      </c>
    </row>
    <row r="1067" spans="1:6" x14ac:dyDescent="0.2">
      <c r="A1067">
        <v>736787.61250000005</v>
      </c>
      <c r="B1067">
        <v>-149.59817000000001</v>
      </c>
      <c r="C1067">
        <v>-17.016887000000001</v>
      </c>
      <c r="D1067">
        <v>142.65999983906801</v>
      </c>
      <c r="E1067">
        <v>29.7</v>
      </c>
      <c r="F1067">
        <v>8.8219999879300701</v>
      </c>
    </row>
    <row r="1068" spans="1:6" x14ac:dyDescent="0.2">
      <c r="A1068">
        <v>736787.61250000005</v>
      </c>
      <c r="B1068">
        <v>-149.59818300000001</v>
      </c>
      <c r="C1068">
        <v>-17.016883</v>
      </c>
      <c r="D1068">
        <v>142.65999983906801</v>
      </c>
      <c r="E1068">
        <v>29.7</v>
      </c>
      <c r="F1068">
        <v>8.8219999879300701</v>
      </c>
    </row>
    <row r="1069" spans="1:6" x14ac:dyDescent="0.2">
      <c r="A1069">
        <v>736787.61250000005</v>
      </c>
      <c r="B1069">
        <v>-149.598195</v>
      </c>
      <c r="C1069">
        <v>-17.016881999999999</v>
      </c>
      <c r="D1069">
        <v>142.65999983906801</v>
      </c>
      <c r="E1069">
        <v>29.7</v>
      </c>
      <c r="F1069">
        <v>8.8219999879300701</v>
      </c>
    </row>
    <row r="1070" spans="1:6" x14ac:dyDescent="0.2">
      <c r="A1070">
        <v>736787.61259999999</v>
      </c>
      <c r="B1070">
        <v>-149.59820999999999</v>
      </c>
      <c r="C1070">
        <v>-17.016877999999998</v>
      </c>
      <c r="D1070">
        <v>142.13919952203099</v>
      </c>
      <c r="E1070">
        <v>29.7</v>
      </c>
      <c r="F1070">
        <v>8.7903199739289395</v>
      </c>
    </row>
    <row r="1071" spans="1:6" x14ac:dyDescent="0.2">
      <c r="A1071">
        <v>736787.61259999999</v>
      </c>
      <c r="B1071">
        <v>-149.59822</v>
      </c>
      <c r="C1071">
        <v>-17.016874999999999</v>
      </c>
      <c r="D1071">
        <v>142.13919952203099</v>
      </c>
      <c r="E1071">
        <v>29.7</v>
      </c>
      <c r="F1071">
        <v>8.7903199739289395</v>
      </c>
    </row>
    <row r="1072" spans="1:6" x14ac:dyDescent="0.2">
      <c r="A1072">
        <v>736787.61259999999</v>
      </c>
      <c r="B1072">
        <v>-149.59823</v>
      </c>
      <c r="C1072">
        <v>-17.016870000000001</v>
      </c>
      <c r="D1072">
        <v>142.13919952203099</v>
      </c>
      <c r="E1072">
        <v>29.7</v>
      </c>
      <c r="F1072">
        <v>8.7903199739289395</v>
      </c>
    </row>
    <row r="1073" spans="1:6" x14ac:dyDescent="0.2">
      <c r="A1073">
        <v>736787.61259999999</v>
      </c>
      <c r="B1073">
        <v>-149.59824599999999</v>
      </c>
      <c r="C1073">
        <v>-17.016859</v>
      </c>
      <c r="D1073">
        <v>142.13919952203099</v>
      </c>
      <c r="E1073">
        <v>29.7</v>
      </c>
      <c r="F1073">
        <v>8.7903199739289395</v>
      </c>
    </row>
    <row r="1074" spans="1:6" x14ac:dyDescent="0.2">
      <c r="A1074">
        <v>736787.61259999999</v>
      </c>
      <c r="B1074">
        <v>-149.59825699999999</v>
      </c>
      <c r="C1074">
        <v>-17.016856000000001</v>
      </c>
      <c r="D1074">
        <v>142.13919952203099</v>
      </c>
      <c r="E1074">
        <v>29.7</v>
      </c>
      <c r="F1074">
        <v>8.7903199739289395</v>
      </c>
    </row>
    <row r="1075" spans="1:6" x14ac:dyDescent="0.2">
      <c r="A1075">
        <v>736787.61270000006</v>
      </c>
      <c r="B1075">
        <v>-149.59826699999999</v>
      </c>
      <c r="C1075">
        <v>-17.016850000000002</v>
      </c>
      <c r="D1075">
        <v>139.83279930476999</v>
      </c>
      <c r="E1075">
        <v>29.694399942064202</v>
      </c>
      <c r="F1075">
        <v>8.6460799594449398</v>
      </c>
    </row>
    <row r="1076" spans="1:6" x14ac:dyDescent="0.2">
      <c r="A1076">
        <v>736787.61270000006</v>
      </c>
      <c r="B1076">
        <v>-149.598276</v>
      </c>
      <c r="C1076">
        <v>-17.016845</v>
      </c>
      <c r="D1076">
        <v>139.83279930476999</v>
      </c>
      <c r="E1076">
        <v>29.694399942064202</v>
      </c>
      <c r="F1076">
        <v>8.6460799594449398</v>
      </c>
    </row>
    <row r="1077" spans="1:6" x14ac:dyDescent="0.2">
      <c r="A1077">
        <v>736787.61270000006</v>
      </c>
      <c r="B1077">
        <v>-149.598287</v>
      </c>
      <c r="C1077">
        <v>-17.016842</v>
      </c>
      <c r="D1077">
        <v>139.83279930476999</v>
      </c>
      <c r="E1077">
        <v>29.694399942064202</v>
      </c>
      <c r="F1077">
        <v>8.6460799594449398</v>
      </c>
    </row>
    <row r="1078" spans="1:6" x14ac:dyDescent="0.2">
      <c r="A1078">
        <v>736787.61270000006</v>
      </c>
      <c r="B1078">
        <v>-149.598296</v>
      </c>
      <c r="C1078">
        <v>-17.016836999999999</v>
      </c>
      <c r="D1078">
        <v>139.83279930476999</v>
      </c>
      <c r="E1078">
        <v>29.694399942064202</v>
      </c>
      <c r="F1078">
        <v>8.6460799594449398</v>
      </c>
    </row>
    <row r="1079" spans="1:6" x14ac:dyDescent="0.2">
      <c r="A1079">
        <v>736787.6128</v>
      </c>
      <c r="B1079">
        <v>-149.598308</v>
      </c>
      <c r="C1079">
        <v>-17.016832999999998</v>
      </c>
      <c r="D1079">
        <v>138.69999999999999</v>
      </c>
      <c r="E1079">
        <v>29.678400049889099</v>
      </c>
      <c r="F1079">
        <v>8.58</v>
      </c>
    </row>
    <row r="1080" spans="1:6" x14ac:dyDescent="0.2">
      <c r="A1080">
        <v>736787.6128</v>
      </c>
      <c r="B1080">
        <v>-149.59832399999999</v>
      </c>
      <c r="C1080">
        <v>-17.016829000000001</v>
      </c>
      <c r="D1080">
        <v>138.69999999999999</v>
      </c>
      <c r="E1080">
        <v>29.678400049889099</v>
      </c>
      <c r="F1080">
        <v>8.58</v>
      </c>
    </row>
    <row r="1081" spans="1:6" x14ac:dyDescent="0.2">
      <c r="A1081">
        <v>736787.6128</v>
      </c>
      <c r="B1081">
        <v>-149.59833800000001</v>
      </c>
      <c r="C1081">
        <v>-17.016828</v>
      </c>
      <c r="D1081">
        <v>138.69999999999999</v>
      </c>
      <c r="E1081">
        <v>29.678400049889099</v>
      </c>
      <c r="F1081">
        <v>8.58</v>
      </c>
    </row>
    <row r="1082" spans="1:6" x14ac:dyDescent="0.2">
      <c r="A1082">
        <v>736787.6128</v>
      </c>
      <c r="B1082">
        <v>-149.59835000000001</v>
      </c>
      <c r="C1082">
        <v>-17.016821</v>
      </c>
      <c r="D1082">
        <v>138.69999999999999</v>
      </c>
      <c r="E1082">
        <v>29.678400049889099</v>
      </c>
      <c r="F1082">
        <v>8.58</v>
      </c>
    </row>
    <row r="1083" spans="1:6" x14ac:dyDescent="0.2">
      <c r="A1083">
        <v>736787.6128</v>
      </c>
      <c r="B1083">
        <v>-149.59835899999999</v>
      </c>
      <c r="C1083">
        <v>-17.016817</v>
      </c>
      <c r="D1083">
        <v>138.69999999999999</v>
      </c>
      <c r="E1083">
        <v>29.678400049889099</v>
      </c>
      <c r="F1083">
        <v>8.58</v>
      </c>
    </row>
    <row r="1084" spans="1:6" x14ac:dyDescent="0.2">
      <c r="A1084">
        <v>736787.61289999995</v>
      </c>
      <c r="B1084">
        <v>-149.59836799999999</v>
      </c>
      <c r="C1084">
        <v>-17.016822000000001</v>
      </c>
      <c r="D1084">
        <v>137.946400444174</v>
      </c>
      <c r="E1084">
        <v>29.7</v>
      </c>
      <c r="F1084">
        <v>8.5348800148057808</v>
      </c>
    </row>
    <row r="1085" spans="1:6" x14ac:dyDescent="0.2">
      <c r="A1085">
        <v>736787.61289999995</v>
      </c>
      <c r="B1085">
        <v>-149.59838199999999</v>
      </c>
      <c r="C1085">
        <v>-17.016822000000001</v>
      </c>
      <c r="D1085">
        <v>137.946400444174</v>
      </c>
      <c r="E1085">
        <v>29.7</v>
      </c>
      <c r="F1085">
        <v>8.5348800148057808</v>
      </c>
    </row>
    <row r="1086" spans="1:6" x14ac:dyDescent="0.2">
      <c r="A1086">
        <v>736787.61289999995</v>
      </c>
      <c r="B1086">
        <v>-149.59839299999999</v>
      </c>
      <c r="C1086">
        <v>-17.016822999999999</v>
      </c>
      <c r="D1086">
        <v>137.946400444174</v>
      </c>
      <c r="E1086">
        <v>29.7</v>
      </c>
      <c r="F1086">
        <v>8.5348800148057808</v>
      </c>
    </row>
    <row r="1087" spans="1:6" x14ac:dyDescent="0.2">
      <c r="A1087">
        <v>736787.61300000001</v>
      </c>
      <c r="B1087">
        <v>-149.59840299999999</v>
      </c>
      <c r="C1087">
        <v>-17.016821</v>
      </c>
      <c r="D1087">
        <v>137.67999971836801</v>
      </c>
      <c r="E1087">
        <v>29.6</v>
      </c>
      <c r="F1087">
        <v>8.5227999831020895</v>
      </c>
    </row>
    <row r="1088" spans="1:6" x14ac:dyDescent="0.2">
      <c r="A1088">
        <v>736787.61320000002</v>
      </c>
      <c r="B1088">
        <v>-149.59840199999999</v>
      </c>
      <c r="C1088">
        <v>-17.016819000000002</v>
      </c>
      <c r="D1088">
        <v>136.612799560654</v>
      </c>
      <c r="E1088">
        <v>29.6</v>
      </c>
      <c r="F1088">
        <v>8.4551999686181691</v>
      </c>
    </row>
    <row r="1089" spans="1:6" x14ac:dyDescent="0.2">
      <c r="A1089">
        <v>736787.61320000002</v>
      </c>
      <c r="B1089">
        <v>-149.59840299999999</v>
      </c>
      <c r="C1089">
        <v>-17.016807</v>
      </c>
      <c r="D1089">
        <v>136.612799560654</v>
      </c>
      <c r="E1089">
        <v>29.6</v>
      </c>
      <c r="F1089">
        <v>8.4551999686181691</v>
      </c>
    </row>
    <row r="1090" spans="1:6" x14ac:dyDescent="0.2">
      <c r="A1090">
        <v>736787.61320000002</v>
      </c>
      <c r="B1090">
        <v>-149.598412</v>
      </c>
      <c r="C1090">
        <v>-17.016797</v>
      </c>
      <c r="D1090">
        <v>136.612799560654</v>
      </c>
      <c r="E1090">
        <v>29.6</v>
      </c>
      <c r="F1090">
        <v>8.4551999686181691</v>
      </c>
    </row>
    <row r="1091" spans="1:6" x14ac:dyDescent="0.2">
      <c r="A1091">
        <v>736787.61329999997</v>
      </c>
      <c r="B1091">
        <v>-149.59842</v>
      </c>
      <c r="C1091">
        <v>-17.01679</v>
      </c>
      <c r="D1091">
        <v>135.30000000000001</v>
      </c>
      <c r="E1091">
        <v>29.6</v>
      </c>
      <c r="F1091">
        <v>8.3800000000000008</v>
      </c>
    </row>
    <row r="1092" spans="1:6" x14ac:dyDescent="0.2">
      <c r="A1092">
        <v>736787.61329999997</v>
      </c>
      <c r="B1092">
        <v>-149.59843000000001</v>
      </c>
      <c r="C1092">
        <v>-17.016781000000002</v>
      </c>
      <c r="D1092">
        <v>135.30000000000001</v>
      </c>
      <c r="E1092">
        <v>29.6</v>
      </c>
      <c r="F1092">
        <v>8.3800000000000008</v>
      </c>
    </row>
    <row r="1093" spans="1:6" x14ac:dyDescent="0.2">
      <c r="A1093">
        <v>736787.61329999997</v>
      </c>
      <c r="B1093">
        <v>-149.598443</v>
      </c>
      <c r="C1093">
        <v>-17.016777999999999</v>
      </c>
      <c r="D1093">
        <v>135.30000000000001</v>
      </c>
      <c r="E1093">
        <v>29.6</v>
      </c>
      <c r="F1093">
        <v>8.3800000000000008</v>
      </c>
    </row>
    <row r="1094" spans="1:6" x14ac:dyDescent="0.2">
      <c r="A1094">
        <v>736787.61329999997</v>
      </c>
      <c r="B1094">
        <v>-149.59846099999999</v>
      </c>
      <c r="C1094">
        <v>-17.016769</v>
      </c>
      <c r="D1094">
        <v>135.30000000000001</v>
      </c>
      <c r="E1094">
        <v>29.6</v>
      </c>
      <c r="F1094">
        <v>8.3800000000000008</v>
      </c>
    </row>
    <row r="1095" spans="1:6" x14ac:dyDescent="0.2">
      <c r="A1095">
        <v>736787.61329999997</v>
      </c>
      <c r="B1095">
        <v>-149.59847199999999</v>
      </c>
      <c r="C1095">
        <v>-17.016764999999999</v>
      </c>
      <c r="D1095">
        <v>135.30000000000001</v>
      </c>
      <c r="E1095">
        <v>29.6</v>
      </c>
      <c r="F1095">
        <v>8.3800000000000008</v>
      </c>
    </row>
    <row r="1096" spans="1:6" x14ac:dyDescent="0.2">
      <c r="A1096">
        <v>736787.61340000003</v>
      </c>
      <c r="B1096">
        <v>-149.59848199999999</v>
      </c>
      <c r="C1096">
        <v>-17.016759</v>
      </c>
      <c r="D1096">
        <v>134.484799930799</v>
      </c>
      <c r="E1096">
        <v>29.6</v>
      </c>
      <c r="F1096">
        <v>8.3284799930799007</v>
      </c>
    </row>
    <row r="1097" spans="1:6" x14ac:dyDescent="0.2">
      <c r="A1097">
        <v>736787.61340000003</v>
      </c>
      <c r="B1097">
        <v>-149.59849600000001</v>
      </c>
      <c r="C1097">
        <v>-17.016753000000001</v>
      </c>
      <c r="D1097">
        <v>134.484799930799</v>
      </c>
      <c r="E1097">
        <v>29.6</v>
      </c>
      <c r="F1097">
        <v>8.3284799930799007</v>
      </c>
    </row>
    <row r="1098" spans="1:6" x14ac:dyDescent="0.2">
      <c r="A1098">
        <v>736787.61340000003</v>
      </c>
      <c r="B1098">
        <v>-149.598511</v>
      </c>
      <c r="C1098">
        <v>-17.016748</v>
      </c>
      <c r="D1098">
        <v>134.484799930799</v>
      </c>
      <c r="E1098">
        <v>29.6</v>
      </c>
      <c r="F1098">
        <v>8.3284799930799007</v>
      </c>
    </row>
    <row r="1099" spans="1:6" x14ac:dyDescent="0.2">
      <c r="A1099">
        <v>736787.61340000003</v>
      </c>
      <c r="B1099">
        <v>-149.598524</v>
      </c>
      <c r="C1099">
        <v>-17.016735000000001</v>
      </c>
      <c r="D1099">
        <v>134.484799930799</v>
      </c>
      <c r="E1099">
        <v>29.6</v>
      </c>
      <c r="F1099">
        <v>8.3284799930799007</v>
      </c>
    </row>
    <row r="1100" spans="1:6" x14ac:dyDescent="0.2">
      <c r="A1100">
        <v>736787.61340000003</v>
      </c>
      <c r="B1100">
        <v>-149.59853100000001</v>
      </c>
      <c r="C1100">
        <v>-17.016729000000002</v>
      </c>
      <c r="D1100">
        <v>134.484799930799</v>
      </c>
      <c r="E1100">
        <v>29.6</v>
      </c>
      <c r="F1100">
        <v>8.3284799930799007</v>
      </c>
    </row>
    <row r="1101" spans="1:6" x14ac:dyDescent="0.2">
      <c r="A1101">
        <v>736787.61349999998</v>
      </c>
      <c r="B1101">
        <v>-149.598545</v>
      </c>
      <c r="C1101">
        <v>-17.016728000000001</v>
      </c>
      <c r="D1101">
        <v>134.22399990343999</v>
      </c>
      <c r="E1101">
        <v>29.6</v>
      </c>
      <c r="F1101">
        <v>8.3111999951720197</v>
      </c>
    </row>
    <row r="1102" spans="1:6" x14ac:dyDescent="0.2">
      <c r="A1102">
        <v>736787.61349999998</v>
      </c>
      <c r="B1102">
        <v>-149.598556</v>
      </c>
      <c r="C1102">
        <v>-17.016724</v>
      </c>
      <c r="D1102">
        <v>134.22399990343999</v>
      </c>
      <c r="E1102">
        <v>29.6</v>
      </c>
      <c r="F1102">
        <v>8.3111999951720197</v>
      </c>
    </row>
    <row r="1103" spans="1:6" x14ac:dyDescent="0.2">
      <c r="A1103">
        <v>736787.61349999998</v>
      </c>
      <c r="B1103">
        <v>-149.59856400000001</v>
      </c>
      <c r="C1103">
        <v>-17.016717</v>
      </c>
      <c r="D1103">
        <v>134.22399990343999</v>
      </c>
      <c r="E1103">
        <v>29.6</v>
      </c>
      <c r="F1103">
        <v>8.3111999951720197</v>
      </c>
    </row>
    <row r="1104" spans="1:6" x14ac:dyDescent="0.2">
      <c r="A1104">
        <v>736787.61349999998</v>
      </c>
      <c r="B1104">
        <v>-149.59857400000001</v>
      </c>
      <c r="C1104">
        <v>-17.016711999999998</v>
      </c>
      <c r="D1104">
        <v>134.22399990343999</v>
      </c>
      <c r="E1104">
        <v>29.6</v>
      </c>
      <c r="F1104">
        <v>8.3111999951720197</v>
      </c>
    </row>
    <row r="1105" spans="1:6" x14ac:dyDescent="0.2">
      <c r="A1105">
        <v>736787.61349999998</v>
      </c>
      <c r="B1105">
        <v>-149.59858500000001</v>
      </c>
      <c r="C1105">
        <v>-17.016708999999999</v>
      </c>
      <c r="D1105">
        <v>134.22399990343999</v>
      </c>
      <c r="E1105">
        <v>29.6</v>
      </c>
      <c r="F1105">
        <v>8.3111999951720197</v>
      </c>
    </row>
    <row r="1106" spans="1:6" x14ac:dyDescent="0.2">
      <c r="A1106">
        <v>736787.61360000004</v>
      </c>
      <c r="B1106">
        <v>-149.59859900000001</v>
      </c>
      <c r="C1106">
        <v>-17.016705000000002</v>
      </c>
      <c r="D1106">
        <v>134.139199924362</v>
      </c>
      <c r="E1106">
        <v>29.6</v>
      </c>
      <c r="F1106">
        <v>8.3039199924361693</v>
      </c>
    </row>
    <row r="1107" spans="1:6" x14ac:dyDescent="0.2">
      <c r="A1107">
        <v>736787.61360000004</v>
      </c>
      <c r="B1107">
        <v>-149.598615</v>
      </c>
      <c r="C1107">
        <v>-17.016698999999999</v>
      </c>
      <c r="D1107">
        <v>134.139199924362</v>
      </c>
      <c r="E1107">
        <v>29.6</v>
      </c>
      <c r="F1107">
        <v>8.3039199924361693</v>
      </c>
    </row>
    <row r="1108" spans="1:6" x14ac:dyDescent="0.2">
      <c r="A1108">
        <v>736787.61360000004</v>
      </c>
      <c r="B1108">
        <v>-149.59862799999999</v>
      </c>
      <c r="C1108">
        <v>-17.016694999999999</v>
      </c>
      <c r="D1108">
        <v>134.139199924362</v>
      </c>
      <c r="E1108">
        <v>29.6</v>
      </c>
      <c r="F1108">
        <v>8.3039199924361693</v>
      </c>
    </row>
    <row r="1109" spans="1:6" x14ac:dyDescent="0.2">
      <c r="A1109">
        <v>736787.61380000005</v>
      </c>
      <c r="B1109">
        <v>-149.59861900000001</v>
      </c>
      <c r="C1109">
        <v>-17.016701000000001</v>
      </c>
      <c r="D1109">
        <v>135.41280016415101</v>
      </c>
      <c r="E1109">
        <v>29.606400082075499</v>
      </c>
      <c r="F1109">
        <v>8.3806400082075605</v>
      </c>
    </row>
    <row r="1110" spans="1:6" x14ac:dyDescent="0.2">
      <c r="A1110">
        <v>736787.61380000005</v>
      </c>
      <c r="B1110">
        <v>-149.59861599999999</v>
      </c>
      <c r="C1110">
        <v>-17.016712999999999</v>
      </c>
      <c r="D1110">
        <v>135.41280016415101</v>
      </c>
      <c r="E1110">
        <v>29.606400082075499</v>
      </c>
      <c r="F1110">
        <v>8.3806400082075605</v>
      </c>
    </row>
    <row r="1111" spans="1:6" x14ac:dyDescent="0.2">
      <c r="A1111">
        <v>736787.61380000005</v>
      </c>
      <c r="B1111">
        <v>-149.598614</v>
      </c>
      <c r="C1111">
        <v>-17.016732000000001</v>
      </c>
      <c r="D1111">
        <v>135.41280016415101</v>
      </c>
      <c r="E1111">
        <v>29.606400082075499</v>
      </c>
      <c r="F1111">
        <v>8.3806400082075605</v>
      </c>
    </row>
    <row r="1112" spans="1:6" x14ac:dyDescent="0.2">
      <c r="A1112">
        <v>736787.61380000005</v>
      </c>
      <c r="B1112">
        <v>-149.598615</v>
      </c>
      <c r="C1112">
        <v>-17.016742000000001</v>
      </c>
      <c r="D1112">
        <v>135.41280016415101</v>
      </c>
      <c r="E1112">
        <v>29.606400082075499</v>
      </c>
      <c r="F1112">
        <v>8.3806400082075605</v>
      </c>
    </row>
    <row r="1113" spans="1:6" x14ac:dyDescent="0.2">
      <c r="A1113">
        <v>736787.61380000005</v>
      </c>
      <c r="B1113">
        <v>-149.598614</v>
      </c>
      <c r="C1113">
        <v>-17.016752</v>
      </c>
      <c r="D1113">
        <v>135.41280016415101</v>
      </c>
      <c r="E1113">
        <v>29.606400082075499</v>
      </c>
      <c r="F1113">
        <v>8.3806400082075605</v>
      </c>
    </row>
    <row r="1114" spans="1:6" x14ac:dyDescent="0.2">
      <c r="A1114">
        <v>736787.61380000005</v>
      </c>
      <c r="B1114">
        <v>-149.59860900000001</v>
      </c>
      <c r="C1114">
        <v>-17.016766000000001</v>
      </c>
      <c r="D1114">
        <v>135.41280016415101</v>
      </c>
      <c r="E1114">
        <v>29.606400082075499</v>
      </c>
      <c r="F1114">
        <v>8.3806400082075605</v>
      </c>
    </row>
    <row r="1115" spans="1:6" x14ac:dyDescent="0.2">
      <c r="A1115">
        <v>736787.6139</v>
      </c>
      <c r="B1115">
        <v>-149.59860399999999</v>
      </c>
      <c r="C1115">
        <v>-17.016779</v>
      </c>
      <c r="D1115">
        <v>135.6</v>
      </c>
      <c r="E1115">
        <v>29.7</v>
      </c>
      <c r="F1115">
        <v>8.39</v>
      </c>
    </row>
    <row r="1116" spans="1:6" x14ac:dyDescent="0.2">
      <c r="A1116">
        <v>736787.6139</v>
      </c>
      <c r="B1116">
        <v>-149.598601</v>
      </c>
      <c r="C1116">
        <v>-17.016788999999999</v>
      </c>
      <c r="D1116">
        <v>135.6</v>
      </c>
      <c r="E1116">
        <v>29.7</v>
      </c>
      <c r="F1116">
        <v>8.39</v>
      </c>
    </row>
    <row r="1117" spans="1:6" x14ac:dyDescent="0.2">
      <c r="A1117">
        <v>736787.6139</v>
      </c>
      <c r="B1117">
        <v>-149.5986</v>
      </c>
      <c r="C1117">
        <v>-17.016793</v>
      </c>
      <c r="D1117">
        <v>135.6</v>
      </c>
      <c r="E1117">
        <v>29.7</v>
      </c>
      <c r="F1117">
        <v>8.39</v>
      </c>
    </row>
    <row r="1118" spans="1:6" x14ac:dyDescent="0.2">
      <c r="A1118">
        <v>736787.6139</v>
      </c>
      <c r="B1118">
        <v>-149.59859599999999</v>
      </c>
      <c r="C1118">
        <v>-17.016808000000001</v>
      </c>
      <c r="D1118">
        <v>135.6</v>
      </c>
      <c r="E1118">
        <v>29.7</v>
      </c>
      <c r="F1118">
        <v>8.39</v>
      </c>
    </row>
    <row r="1119" spans="1:6" x14ac:dyDescent="0.2">
      <c r="A1119">
        <v>736787.6139</v>
      </c>
      <c r="B1119">
        <v>-149.59859599999999</v>
      </c>
      <c r="C1119">
        <v>-17.016818000000001</v>
      </c>
      <c r="D1119">
        <v>135.6</v>
      </c>
      <c r="E1119">
        <v>29.7</v>
      </c>
      <c r="F1119">
        <v>8.39</v>
      </c>
    </row>
    <row r="1120" spans="1:6" x14ac:dyDescent="0.2">
      <c r="A1120">
        <v>736787.6139</v>
      </c>
      <c r="B1120">
        <v>-149.59859599999999</v>
      </c>
      <c r="C1120">
        <v>-17.016826999999999</v>
      </c>
      <c r="D1120">
        <v>135.6</v>
      </c>
      <c r="E1120">
        <v>29.7</v>
      </c>
      <c r="F1120">
        <v>8.39</v>
      </c>
    </row>
    <row r="1121" spans="1:6" x14ac:dyDescent="0.2">
      <c r="A1121">
        <v>736787.6139</v>
      </c>
      <c r="B1121">
        <v>-149.59859499999999</v>
      </c>
      <c r="C1121">
        <v>-17.016836000000001</v>
      </c>
      <c r="D1121">
        <v>135.6</v>
      </c>
      <c r="E1121">
        <v>29.7</v>
      </c>
      <c r="F1121">
        <v>8.39</v>
      </c>
    </row>
    <row r="1122" spans="1:6" x14ac:dyDescent="0.2">
      <c r="A1122">
        <v>736787.61399999994</v>
      </c>
      <c r="B1122">
        <v>-149.59859700000001</v>
      </c>
      <c r="C1122">
        <v>-17.016850999999999</v>
      </c>
      <c r="D1122">
        <v>137.36399921143101</v>
      </c>
      <c r="E1122">
        <v>29.7</v>
      </c>
      <c r="F1122">
        <v>8.4959999436736506</v>
      </c>
    </row>
    <row r="1123" spans="1:6" x14ac:dyDescent="0.2">
      <c r="A1123">
        <v>736787.61399999994</v>
      </c>
      <c r="B1123">
        <v>-149.5986</v>
      </c>
      <c r="C1123">
        <v>-17.016863000000001</v>
      </c>
      <c r="D1123">
        <v>137.36399921143101</v>
      </c>
      <c r="E1123">
        <v>29.7</v>
      </c>
      <c r="F1123">
        <v>8.4959999436736506</v>
      </c>
    </row>
    <row r="1124" spans="1:6" x14ac:dyDescent="0.2">
      <c r="A1124">
        <v>736787.61399999994</v>
      </c>
      <c r="B1124">
        <v>-149.59860800000001</v>
      </c>
      <c r="C1124">
        <v>-17.016873</v>
      </c>
      <c r="D1124">
        <v>137.36399921143101</v>
      </c>
      <c r="E1124">
        <v>29.7</v>
      </c>
      <c r="F1124">
        <v>8.4959999436736506</v>
      </c>
    </row>
    <row r="1125" spans="1:6" x14ac:dyDescent="0.2">
      <c r="A1125">
        <v>736787.61399999994</v>
      </c>
      <c r="B1125">
        <v>-149.598613</v>
      </c>
      <c r="C1125">
        <v>-17.016884999999998</v>
      </c>
      <c r="D1125">
        <v>137.36399921143101</v>
      </c>
      <c r="E1125">
        <v>29.7</v>
      </c>
      <c r="F1125">
        <v>8.4959999436736506</v>
      </c>
    </row>
    <row r="1126" spans="1:6" x14ac:dyDescent="0.2">
      <c r="A1126">
        <v>736787.61410000001</v>
      </c>
      <c r="B1126">
        <v>-149.59861799999999</v>
      </c>
      <c r="C1126">
        <v>-17.016895999999999</v>
      </c>
      <c r="D1126">
        <v>137.77440027519401</v>
      </c>
      <c r="E1126">
        <v>29.7</v>
      </c>
      <c r="F1126">
        <v>8.5149600183463008</v>
      </c>
    </row>
    <row r="1127" spans="1:6" x14ac:dyDescent="0.2">
      <c r="A1127">
        <v>736787.61410000001</v>
      </c>
      <c r="B1127">
        <v>-149.598624</v>
      </c>
      <c r="C1127">
        <v>-17.016909999999999</v>
      </c>
      <c r="D1127">
        <v>137.77440027519401</v>
      </c>
      <c r="E1127">
        <v>29.7</v>
      </c>
      <c r="F1127">
        <v>8.5149600183463008</v>
      </c>
    </row>
    <row r="1128" spans="1:6" x14ac:dyDescent="0.2">
      <c r="A1128">
        <v>736787.61410000001</v>
      </c>
      <c r="B1128">
        <v>-149.59863000000001</v>
      </c>
      <c r="C1128">
        <v>-17.016926000000002</v>
      </c>
      <c r="D1128">
        <v>137.77440027519401</v>
      </c>
      <c r="E1128">
        <v>29.7</v>
      </c>
      <c r="F1128">
        <v>8.5149600183463008</v>
      </c>
    </row>
    <row r="1129" spans="1:6" x14ac:dyDescent="0.2">
      <c r="A1129">
        <v>736787.61410000001</v>
      </c>
      <c r="B1129">
        <v>-149.59863100000001</v>
      </c>
      <c r="C1129">
        <v>-17.016942</v>
      </c>
      <c r="D1129">
        <v>137.77440027519401</v>
      </c>
      <c r="E1129">
        <v>29.7</v>
      </c>
      <c r="F1129">
        <v>8.5149600183463008</v>
      </c>
    </row>
    <row r="1130" spans="1:6" x14ac:dyDescent="0.2">
      <c r="A1130">
        <v>736787.61419999995</v>
      </c>
      <c r="B1130">
        <v>-149.598626</v>
      </c>
      <c r="C1130">
        <v>-17.016960999999998</v>
      </c>
      <c r="D1130">
        <v>139.07359883162999</v>
      </c>
      <c r="E1130">
        <v>29.7</v>
      </c>
      <c r="F1130">
        <v>8.5983199256492107</v>
      </c>
    </row>
    <row r="1131" spans="1:6" x14ac:dyDescent="0.2">
      <c r="A1131">
        <v>736787.61419999995</v>
      </c>
      <c r="B1131">
        <v>-149.59862000000001</v>
      </c>
      <c r="C1131">
        <v>-17.016971999999999</v>
      </c>
      <c r="D1131">
        <v>139.07359883162999</v>
      </c>
      <c r="E1131">
        <v>29.7</v>
      </c>
      <c r="F1131">
        <v>8.5983199256492107</v>
      </c>
    </row>
    <row r="1132" spans="1:6" x14ac:dyDescent="0.2">
      <c r="A1132">
        <v>736787.61419999995</v>
      </c>
      <c r="B1132">
        <v>-149.59861100000001</v>
      </c>
      <c r="C1132">
        <v>-17.016978000000002</v>
      </c>
      <c r="D1132">
        <v>139.07359883162999</v>
      </c>
      <c r="E1132">
        <v>29.7</v>
      </c>
      <c r="F1132">
        <v>8.5983199256492107</v>
      </c>
    </row>
    <row r="1133" spans="1:6" x14ac:dyDescent="0.2">
      <c r="A1133">
        <v>736787.61419999995</v>
      </c>
      <c r="B1133">
        <v>-149.59859499999999</v>
      </c>
      <c r="C1133">
        <v>-17.016987</v>
      </c>
      <c r="D1133">
        <v>139.07359883162999</v>
      </c>
      <c r="E1133">
        <v>29.7</v>
      </c>
      <c r="F1133">
        <v>8.5983199256492107</v>
      </c>
    </row>
    <row r="1134" spans="1:6" x14ac:dyDescent="0.2">
      <c r="A1134">
        <v>736787.61419999995</v>
      </c>
      <c r="B1134">
        <v>-149.598579</v>
      </c>
      <c r="C1134">
        <v>-17.016998999999998</v>
      </c>
      <c r="D1134">
        <v>139.07359883162999</v>
      </c>
      <c r="E1134">
        <v>29.7</v>
      </c>
      <c r="F1134">
        <v>8.5983199256492107</v>
      </c>
    </row>
    <row r="1135" spans="1:6" x14ac:dyDescent="0.2">
      <c r="A1135">
        <v>736787.61419999995</v>
      </c>
      <c r="B1135">
        <v>-149.59857</v>
      </c>
      <c r="C1135">
        <v>-17.017005999999999</v>
      </c>
      <c r="D1135">
        <v>139.07359883162999</v>
      </c>
      <c r="E1135">
        <v>29.7</v>
      </c>
      <c r="F1135">
        <v>8.5983199256492107</v>
      </c>
    </row>
    <row r="1136" spans="1:6" x14ac:dyDescent="0.2">
      <c r="A1136">
        <v>736787.61430000002</v>
      </c>
      <c r="B1136">
        <v>-149.59856500000001</v>
      </c>
      <c r="C1136">
        <v>-17.017016999999999</v>
      </c>
      <c r="D1136">
        <v>140.71920088834901</v>
      </c>
      <c r="E1136">
        <v>29.8</v>
      </c>
      <c r="F1136">
        <v>8.6885600540734096</v>
      </c>
    </row>
    <row r="1137" spans="1:6" x14ac:dyDescent="0.2">
      <c r="A1137">
        <v>736787.61430000002</v>
      </c>
      <c r="B1137">
        <v>-149.598558</v>
      </c>
      <c r="C1137">
        <v>-17.017023999999999</v>
      </c>
      <c r="D1137">
        <v>140.71920088834901</v>
      </c>
      <c r="E1137">
        <v>29.8</v>
      </c>
      <c r="F1137">
        <v>8.6885600540734096</v>
      </c>
    </row>
    <row r="1138" spans="1:6" x14ac:dyDescent="0.2">
      <c r="A1138">
        <v>736787.61430000002</v>
      </c>
      <c r="B1138">
        <v>-149.598547</v>
      </c>
      <c r="C1138">
        <v>-17.017029000000001</v>
      </c>
      <c r="D1138">
        <v>140.71920088834901</v>
      </c>
      <c r="E1138">
        <v>29.8</v>
      </c>
      <c r="F1138">
        <v>8.6885600540734096</v>
      </c>
    </row>
    <row r="1139" spans="1:6" x14ac:dyDescent="0.2">
      <c r="A1139">
        <v>736787.61430000002</v>
      </c>
      <c r="B1139">
        <v>-149.598536</v>
      </c>
      <c r="C1139">
        <v>-17.017037999999999</v>
      </c>
      <c r="D1139">
        <v>140.71920088834901</v>
      </c>
      <c r="E1139">
        <v>29.8</v>
      </c>
      <c r="F1139">
        <v>8.6885600540734096</v>
      </c>
    </row>
    <row r="1140" spans="1:6" x14ac:dyDescent="0.2">
      <c r="A1140">
        <v>736787.61430000002</v>
      </c>
      <c r="B1140">
        <v>-149.598525</v>
      </c>
      <c r="C1140">
        <v>-17.017049</v>
      </c>
      <c r="D1140">
        <v>140.71920088834901</v>
      </c>
      <c r="E1140">
        <v>29.8</v>
      </c>
      <c r="F1140">
        <v>8.6885600540734096</v>
      </c>
    </row>
    <row r="1141" spans="1:6" x14ac:dyDescent="0.2">
      <c r="A1141">
        <v>736787.61430000002</v>
      </c>
      <c r="B1141">
        <v>-149.59851399999999</v>
      </c>
      <c r="C1141">
        <v>-17.017056</v>
      </c>
      <c r="D1141">
        <v>140.71920088834901</v>
      </c>
      <c r="E1141">
        <v>29.8</v>
      </c>
      <c r="F1141">
        <v>8.6885600540734096</v>
      </c>
    </row>
    <row r="1142" spans="1:6" x14ac:dyDescent="0.2">
      <c r="A1142">
        <v>736787.61430000002</v>
      </c>
      <c r="B1142">
        <v>-149.59850800000001</v>
      </c>
      <c r="C1142">
        <v>-17.017064999999999</v>
      </c>
      <c r="D1142">
        <v>140.71920088834901</v>
      </c>
      <c r="E1142">
        <v>29.8</v>
      </c>
      <c r="F1142">
        <v>8.6885600540734096</v>
      </c>
    </row>
    <row r="1143" spans="1:6" x14ac:dyDescent="0.2">
      <c r="A1143">
        <v>736787.61439999996</v>
      </c>
      <c r="B1143">
        <v>-149.59849399999999</v>
      </c>
      <c r="C1143">
        <v>-17.01707</v>
      </c>
      <c r="D1143">
        <v>143.961598702885</v>
      </c>
      <c r="E1143">
        <v>29.8</v>
      </c>
      <c r="F1143">
        <v>8.8845599201775105</v>
      </c>
    </row>
    <row r="1144" spans="1:6" x14ac:dyDescent="0.2">
      <c r="A1144">
        <v>736787.61439999996</v>
      </c>
      <c r="B1144">
        <v>-149.59848400000001</v>
      </c>
      <c r="C1144">
        <v>-17.017078000000001</v>
      </c>
      <c r="D1144">
        <v>143.961598702885</v>
      </c>
      <c r="E1144">
        <v>29.8</v>
      </c>
      <c r="F1144">
        <v>8.8845599201775105</v>
      </c>
    </row>
    <row r="1145" spans="1:6" x14ac:dyDescent="0.2">
      <c r="A1145">
        <v>736787.61439999996</v>
      </c>
      <c r="B1145">
        <v>-149.59847400000001</v>
      </c>
      <c r="C1145">
        <v>-17.017085000000002</v>
      </c>
      <c r="D1145">
        <v>143.961598702885</v>
      </c>
      <c r="E1145">
        <v>29.8</v>
      </c>
      <c r="F1145">
        <v>8.8845599201775105</v>
      </c>
    </row>
    <row r="1146" spans="1:6" x14ac:dyDescent="0.2">
      <c r="A1146">
        <v>736787.61439999996</v>
      </c>
      <c r="B1146">
        <v>-149.59845999999999</v>
      </c>
      <c r="C1146">
        <v>-17.017098000000001</v>
      </c>
      <c r="D1146">
        <v>143.961598702885</v>
      </c>
      <c r="E1146">
        <v>29.8</v>
      </c>
      <c r="F1146">
        <v>8.8845599201775105</v>
      </c>
    </row>
    <row r="1147" spans="1:6" x14ac:dyDescent="0.2">
      <c r="A1147">
        <v>736787.61439999996</v>
      </c>
      <c r="B1147">
        <v>-149.59845000000001</v>
      </c>
      <c r="C1147">
        <v>-17.017108</v>
      </c>
      <c r="D1147">
        <v>143.961598702885</v>
      </c>
      <c r="E1147">
        <v>29.8</v>
      </c>
      <c r="F1147">
        <v>8.8845599201775105</v>
      </c>
    </row>
    <row r="1148" spans="1:6" x14ac:dyDescent="0.2">
      <c r="A1148">
        <v>736787.61439999996</v>
      </c>
      <c r="B1148">
        <v>-149.59844200000001</v>
      </c>
      <c r="C1148">
        <v>-17.017112999999998</v>
      </c>
      <c r="D1148">
        <v>143.961598702885</v>
      </c>
      <c r="E1148">
        <v>29.8</v>
      </c>
      <c r="F1148">
        <v>8.8845599201775105</v>
      </c>
    </row>
    <row r="1149" spans="1:6" x14ac:dyDescent="0.2">
      <c r="A1149">
        <v>736787.61439999996</v>
      </c>
      <c r="B1149">
        <v>-149.59843100000001</v>
      </c>
      <c r="C1149">
        <v>-17.017118</v>
      </c>
      <c r="D1149">
        <v>143.961598702885</v>
      </c>
      <c r="E1149">
        <v>29.8</v>
      </c>
      <c r="F1149">
        <v>8.8845599201775105</v>
      </c>
    </row>
    <row r="1150" spans="1:6" x14ac:dyDescent="0.2">
      <c r="A1150">
        <v>736787.61450000003</v>
      </c>
      <c r="B1150">
        <v>-149.59841700000001</v>
      </c>
      <c r="C1150">
        <v>-17.017126000000001</v>
      </c>
      <c r="D1150">
        <v>144.89600062763699</v>
      </c>
      <c r="E1150">
        <v>29.8</v>
      </c>
      <c r="F1150">
        <v>8.9364000418424308</v>
      </c>
    </row>
    <row r="1151" spans="1:6" x14ac:dyDescent="0.2">
      <c r="A1151">
        <v>736787.61450000003</v>
      </c>
      <c r="B1151">
        <v>-149.59840700000001</v>
      </c>
      <c r="C1151">
        <v>-17.017130000000002</v>
      </c>
      <c r="D1151">
        <v>144.89600062763699</v>
      </c>
      <c r="E1151">
        <v>29.8</v>
      </c>
      <c r="F1151">
        <v>8.9364000418424308</v>
      </c>
    </row>
    <row r="1152" spans="1:6" x14ac:dyDescent="0.2">
      <c r="A1152">
        <v>736787.61450000003</v>
      </c>
      <c r="B1152">
        <v>-149.59839400000001</v>
      </c>
      <c r="C1152">
        <v>-17.017130999999999</v>
      </c>
      <c r="D1152">
        <v>144.89600062763699</v>
      </c>
      <c r="E1152">
        <v>29.8</v>
      </c>
      <c r="F1152">
        <v>8.9364000418424308</v>
      </c>
    </row>
    <row r="1153" spans="1:6" x14ac:dyDescent="0.2">
      <c r="A1153">
        <v>736787.61450000003</v>
      </c>
      <c r="B1153">
        <v>-149.59837999999999</v>
      </c>
      <c r="C1153">
        <v>-17.017139</v>
      </c>
      <c r="D1153">
        <v>144.89600062763699</v>
      </c>
      <c r="E1153">
        <v>29.8</v>
      </c>
      <c r="F1153">
        <v>8.9364000418424308</v>
      </c>
    </row>
    <row r="1154" spans="1:6" x14ac:dyDescent="0.2">
      <c r="A1154">
        <v>736787.61450000003</v>
      </c>
      <c r="B1154">
        <v>-149.59837099999999</v>
      </c>
      <c r="C1154">
        <v>-17.017147000000001</v>
      </c>
      <c r="D1154">
        <v>144.89600062763699</v>
      </c>
      <c r="E1154">
        <v>29.8</v>
      </c>
      <c r="F1154">
        <v>8.9364000418424308</v>
      </c>
    </row>
    <row r="1155" spans="1:6" x14ac:dyDescent="0.2">
      <c r="A1155">
        <v>736787.61450000003</v>
      </c>
      <c r="B1155">
        <v>-149.59836300000001</v>
      </c>
      <c r="C1155">
        <v>-17.017154999999999</v>
      </c>
      <c r="D1155">
        <v>144.89600062763699</v>
      </c>
      <c r="E1155">
        <v>29.8</v>
      </c>
      <c r="F1155">
        <v>8.9364000418424308</v>
      </c>
    </row>
    <row r="1156" spans="1:6" x14ac:dyDescent="0.2">
      <c r="A1156">
        <v>736787.61450000003</v>
      </c>
      <c r="B1156">
        <v>-149.59835200000001</v>
      </c>
      <c r="C1156">
        <v>-17.017164000000001</v>
      </c>
      <c r="D1156">
        <v>144.89600062763699</v>
      </c>
      <c r="E1156">
        <v>29.8</v>
      </c>
      <c r="F1156">
        <v>8.9364000418424308</v>
      </c>
    </row>
    <row r="1157" spans="1:6" x14ac:dyDescent="0.2">
      <c r="A1157">
        <v>736787.61450000003</v>
      </c>
      <c r="B1157">
        <v>-149.598343</v>
      </c>
      <c r="C1157">
        <v>-17.01717</v>
      </c>
      <c r="D1157">
        <v>144.89600062763699</v>
      </c>
      <c r="E1157">
        <v>29.8</v>
      </c>
      <c r="F1157">
        <v>8.9364000418424308</v>
      </c>
    </row>
    <row r="1158" spans="1:6" x14ac:dyDescent="0.2">
      <c r="A1158">
        <v>736787.61450000003</v>
      </c>
      <c r="B1158">
        <v>-149.59833699999999</v>
      </c>
      <c r="C1158">
        <v>-17.017181999999998</v>
      </c>
      <c r="D1158">
        <v>144.89600062763699</v>
      </c>
      <c r="E1158">
        <v>29.8</v>
      </c>
      <c r="F1158">
        <v>8.9364000418424308</v>
      </c>
    </row>
    <row r="1159" spans="1:6" x14ac:dyDescent="0.2">
      <c r="A1159">
        <v>736787.61459999997</v>
      </c>
      <c r="B1159">
        <v>-149.59832800000001</v>
      </c>
      <c r="C1159">
        <v>-17.017192999999999</v>
      </c>
      <c r="D1159">
        <v>146.46559887991</v>
      </c>
      <c r="E1159">
        <v>29.8</v>
      </c>
      <c r="F1159">
        <v>9.0321599346614292</v>
      </c>
    </row>
    <row r="1160" spans="1:6" x14ac:dyDescent="0.2">
      <c r="A1160">
        <v>736787.61459999997</v>
      </c>
      <c r="B1160">
        <v>-149.59831700000001</v>
      </c>
      <c r="C1160">
        <v>-17.017201</v>
      </c>
      <c r="D1160">
        <v>146.46559887991</v>
      </c>
      <c r="E1160">
        <v>29.8</v>
      </c>
      <c r="F1160">
        <v>9.0321599346614292</v>
      </c>
    </row>
    <row r="1161" spans="1:6" x14ac:dyDescent="0.2">
      <c r="A1161">
        <v>736787.61459999997</v>
      </c>
      <c r="B1161">
        <v>-149.59830700000001</v>
      </c>
      <c r="C1161">
        <v>-17.017205000000001</v>
      </c>
      <c r="D1161">
        <v>146.46559887991</v>
      </c>
      <c r="E1161">
        <v>29.8</v>
      </c>
      <c r="F1161">
        <v>9.0321599346614292</v>
      </c>
    </row>
    <row r="1162" spans="1:6" x14ac:dyDescent="0.2">
      <c r="A1162">
        <v>736787.61459999997</v>
      </c>
      <c r="B1162">
        <v>-149.59829500000001</v>
      </c>
      <c r="C1162">
        <v>-17.017208</v>
      </c>
      <c r="D1162">
        <v>146.46559887991</v>
      </c>
      <c r="E1162">
        <v>29.8</v>
      </c>
      <c r="F1162">
        <v>9.0321599346614292</v>
      </c>
    </row>
    <row r="1163" spans="1:6" x14ac:dyDescent="0.2">
      <c r="A1163">
        <v>736787.61459999997</v>
      </c>
      <c r="B1163">
        <v>-149.59828099999999</v>
      </c>
      <c r="C1163">
        <v>-17.017216999999999</v>
      </c>
      <c r="D1163">
        <v>146.46559887991</v>
      </c>
      <c r="E1163">
        <v>29.8</v>
      </c>
      <c r="F1163">
        <v>9.0321599346614292</v>
      </c>
    </row>
    <row r="1164" spans="1:6" x14ac:dyDescent="0.2">
      <c r="A1164">
        <v>736787.61459999997</v>
      </c>
      <c r="B1164">
        <v>-149.59827100000001</v>
      </c>
      <c r="C1164">
        <v>-17.017223000000001</v>
      </c>
      <c r="D1164">
        <v>146.46559887991</v>
      </c>
      <c r="E1164">
        <v>29.8</v>
      </c>
      <c r="F1164">
        <v>9.0321599346614292</v>
      </c>
    </row>
    <row r="1165" spans="1:6" x14ac:dyDescent="0.2">
      <c r="A1165">
        <v>736787.61459999997</v>
      </c>
      <c r="B1165">
        <v>-149.59825799999999</v>
      </c>
      <c r="C1165">
        <v>-17.017229</v>
      </c>
      <c r="D1165">
        <v>146.46559887991</v>
      </c>
      <c r="E1165">
        <v>29.8</v>
      </c>
      <c r="F1165">
        <v>9.0321599346614292</v>
      </c>
    </row>
    <row r="1166" spans="1:6" x14ac:dyDescent="0.2">
      <c r="A1166">
        <v>736787.61459999997</v>
      </c>
      <c r="B1166">
        <v>-149.598251</v>
      </c>
      <c r="C1166">
        <v>-17.017236</v>
      </c>
      <c r="D1166">
        <v>146.46559887991</v>
      </c>
      <c r="E1166">
        <v>29.8</v>
      </c>
      <c r="F1166">
        <v>9.0321599346614292</v>
      </c>
    </row>
    <row r="1167" spans="1:6" x14ac:dyDescent="0.2">
      <c r="A1167">
        <v>736787.61470000003</v>
      </c>
      <c r="B1167">
        <v>-149.59823800000001</v>
      </c>
      <c r="C1167">
        <v>-17.017244999999999</v>
      </c>
      <c r="D1167">
        <v>147.092800888347</v>
      </c>
      <c r="E1167">
        <v>29.9</v>
      </c>
      <c r="F1167">
        <v>9.0708000555216906</v>
      </c>
    </row>
    <row r="1168" spans="1:6" x14ac:dyDescent="0.2">
      <c r="A1168">
        <v>736787.61470000003</v>
      </c>
      <c r="B1168">
        <v>-149.59822600000001</v>
      </c>
      <c r="C1168">
        <v>-17.017254999999999</v>
      </c>
      <c r="D1168">
        <v>147.092800888347</v>
      </c>
      <c r="E1168">
        <v>29.9</v>
      </c>
      <c r="F1168">
        <v>9.0708000555216906</v>
      </c>
    </row>
    <row r="1169" spans="1:6" x14ac:dyDescent="0.2">
      <c r="A1169">
        <v>736787.61470000003</v>
      </c>
      <c r="B1169">
        <v>-149.59821299999999</v>
      </c>
      <c r="C1169">
        <v>-17.017267</v>
      </c>
      <c r="D1169">
        <v>147.092800888347</v>
      </c>
      <c r="E1169">
        <v>29.9</v>
      </c>
      <c r="F1169">
        <v>9.0708000555216906</v>
      </c>
    </row>
    <row r="1170" spans="1:6" x14ac:dyDescent="0.2">
      <c r="A1170">
        <v>736787.61470000003</v>
      </c>
      <c r="B1170">
        <v>-149.59820500000001</v>
      </c>
      <c r="C1170">
        <v>-17.017277</v>
      </c>
      <c r="D1170">
        <v>147.092800888347</v>
      </c>
      <c r="E1170">
        <v>29.9</v>
      </c>
      <c r="F1170">
        <v>9.0708000555216906</v>
      </c>
    </row>
    <row r="1171" spans="1:6" x14ac:dyDescent="0.2">
      <c r="A1171">
        <v>736787.61470000003</v>
      </c>
      <c r="B1171">
        <v>-149.598186</v>
      </c>
      <c r="C1171">
        <v>-17.017288000000001</v>
      </c>
      <c r="D1171">
        <v>147.092800888347</v>
      </c>
      <c r="E1171">
        <v>29.9</v>
      </c>
      <c r="F1171">
        <v>9.0708000555216906</v>
      </c>
    </row>
    <row r="1172" spans="1:6" x14ac:dyDescent="0.2">
      <c r="A1172">
        <v>736787.61470000003</v>
      </c>
      <c r="B1172">
        <v>-149.598174</v>
      </c>
      <c r="C1172">
        <v>-17.017299999999999</v>
      </c>
      <c r="D1172">
        <v>147.092800888347</v>
      </c>
      <c r="E1172">
        <v>29.9</v>
      </c>
      <c r="F1172">
        <v>9.0708000555216906</v>
      </c>
    </row>
    <row r="1173" spans="1:6" x14ac:dyDescent="0.2">
      <c r="A1173">
        <v>736787.61470000003</v>
      </c>
      <c r="B1173">
        <v>-149.598162</v>
      </c>
      <c r="C1173">
        <v>-17.017308</v>
      </c>
      <c r="D1173">
        <v>147.092800888347</v>
      </c>
      <c r="E1173">
        <v>29.9</v>
      </c>
      <c r="F1173">
        <v>9.0708000555216906</v>
      </c>
    </row>
    <row r="1174" spans="1:6" x14ac:dyDescent="0.2">
      <c r="A1174">
        <v>736787.61479999998</v>
      </c>
      <c r="B1174">
        <v>-149.59814900000001</v>
      </c>
      <c r="C1174">
        <v>-17.017313000000001</v>
      </c>
      <c r="D1174">
        <v>148.534399913096</v>
      </c>
      <c r="E1174">
        <v>29.9</v>
      </c>
      <c r="F1174">
        <v>9.15343999130965</v>
      </c>
    </row>
    <row r="1175" spans="1:6" x14ac:dyDescent="0.2">
      <c r="A1175">
        <v>736787.61479999998</v>
      </c>
      <c r="B1175">
        <v>-149.59813700000001</v>
      </c>
      <c r="C1175">
        <v>-17.017323000000001</v>
      </c>
      <c r="D1175">
        <v>148.534399913096</v>
      </c>
      <c r="E1175">
        <v>29.9</v>
      </c>
      <c r="F1175">
        <v>9.15343999130965</v>
      </c>
    </row>
    <row r="1176" spans="1:6" x14ac:dyDescent="0.2">
      <c r="A1176">
        <v>736787.61479999998</v>
      </c>
      <c r="B1176">
        <v>-149.59812400000001</v>
      </c>
      <c r="C1176">
        <v>-17.017330000000001</v>
      </c>
      <c r="D1176">
        <v>148.534399913096</v>
      </c>
      <c r="E1176">
        <v>29.9</v>
      </c>
      <c r="F1176">
        <v>9.15343999130965</v>
      </c>
    </row>
    <row r="1177" spans="1:6" x14ac:dyDescent="0.2">
      <c r="A1177">
        <v>736787.61479999998</v>
      </c>
      <c r="B1177">
        <v>-149.59810899999999</v>
      </c>
      <c r="C1177">
        <v>-17.017339</v>
      </c>
      <c r="D1177">
        <v>148.534399913096</v>
      </c>
      <c r="E1177">
        <v>29.9</v>
      </c>
      <c r="F1177">
        <v>9.15343999130965</v>
      </c>
    </row>
    <row r="1178" spans="1:6" x14ac:dyDescent="0.2">
      <c r="A1178">
        <v>736787.61479999998</v>
      </c>
      <c r="B1178">
        <v>-149.59809899999999</v>
      </c>
      <c r="C1178">
        <v>-17.017344999999999</v>
      </c>
      <c r="D1178">
        <v>148.534399913096</v>
      </c>
      <c r="E1178">
        <v>29.9</v>
      </c>
      <c r="F1178">
        <v>9.15343999130965</v>
      </c>
    </row>
    <row r="1179" spans="1:6" x14ac:dyDescent="0.2">
      <c r="A1179">
        <v>736787.61479999998</v>
      </c>
      <c r="B1179">
        <v>-149.59808799999999</v>
      </c>
      <c r="C1179">
        <v>-17.017355999999999</v>
      </c>
      <c r="D1179">
        <v>148.534399913096</v>
      </c>
      <c r="E1179">
        <v>29.9</v>
      </c>
      <c r="F1179">
        <v>9.15343999130965</v>
      </c>
    </row>
    <row r="1180" spans="1:6" x14ac:dyDescent="0.2">
      <c r="A1180">
        <v>736787.61479999998</v>
      </c>
      <c r="B1180">
        <v>-149.59807699999999</v>
      </c>
      <c r="C1180">
        <v>-17.017368000000001</v>
      </c>
      <c r="D1180">
        <v>148.534399913096</v>
      </c>
      <c r="E1180">
        <v>29.9</v>
      </c>
      <c r="F1180">
        <v>9.15343999130965</v>
      </c>
    </row>
    <row r="1181" spans="1:6" x14ac:dyDescent="0.2">
      <c r="A1181">
        <v>736787.61479999998</v>
      </c>
      <c r="B1181">
        <v>-149.598071</v>
      </c>
      <c r="C1181">
        <v>-17.017375000000001</v>
      </c>
      <c r="D1181">
        <v>148.534399913096</v>
      </c>
      <c r="E1181">
        <v>29.9</v>
      </c>
      <c r="F1181">
        <v>9.15343999130965</v>
      </c>
    </row>
    <row r="1182" spans="1:6" x14ac:dyDescent="0.2">
      <c r="A1182">
        <v>736787.61490000004</v>
      </c>
      <c r="B1182">
        <v>-149.59805800000001</v>
      </c>
      <c r="C1182">
        <v>-17.017384</v>
      </c>
      <c r="D1182">
        <v>149.92240199717199</v>
      </c>
      <c r="E1182">
        <v>29.907200117480699</v>
      </c>
      <c r="F1182">
        <v>9.2372001174806808</v>
      </c>
    </row>
    <row r="1183" spans="1:6" x14ac:dyDescent="0.2">
      <c r="A1183">
        <v>736787.61490000004</v>
      </c>
      <c r="B1183">
        <v>-149.59804700000001</v>
      </c>
      <c r="C1183">
        <v>-17.017396999999999</v>
      </c>
      <c r="D1183">
        <v>149.92240199717199</v>
      </c>
      <c r="E1183">
        <v>29.907200117480699</v>
      </c>
      <c r="F1183">
        <v>9.2372001174806808</v>
      </c>
    </row>
    <row r="1184" spans="1:6" x14ac:dyDescent="0.2">
      <c r="A1184">
        <v>736787.61490000004</v>
      </c>
      <c r="B1184">
        <v>-149.59804</v>
      </c>
      <c r="C1184">
        <v>-17.017408</v>
      </c>
      <c r="D1184">
        <v>149.92240199717199</v>
      </c>
      <c r="E1184">
        <v>29.907200117480699</v>
      </c>
      <c r="F1184">
        <v>9.2372001174806808</v>
      </c>
    </row>
    <row r="1185" spans="1:6" x14ac:dyDescent="0.2">
      <c r="A1185">
        <v>736787.61490000004</v>
      </c>
      <c r="B1185">
        <v>-149.59803299999999</v>
      </c>
      <c r="C1185">
        <v>-17.017416000000001</v>
      </c>
      <c r="D1185">
        <v>149.92240199717199</v>
      </c>
      <c r="E1185">
        <v>29.907200117480699</v>
      </c>
      <c r="F1185">
        <v>9.2372001174806808</v>
      </c>
    </row>
    <row r="1186" spans="1:6" x14ac:dyDescent="0.2">
      <c r="A1186">
        <v>736787.61490000004</v>
      </c>
      <c r="B1186">
        <v>-149.598027</v>
      </c>
      <c r="C1186">
        <v>-17.017429</v>
      </c>
      <c r="D1186">
        <v>149.92240199717199</v>
      </c>
      <c r="E1186">
        <v>29.907200117480699</v>
      </c>
      <c r="F1186">
        <v>9.2372001174806808</v>
      </c>
    </row>
    <row r="1187" spans="1:6" x14ac:dyDescent="0.2">
      <c r="A1187">
        <v>736787.61490000004</v>
      </c>
      <c r="B1187">
        <v>-149.59801300000001</v>
      </c>
      <c r="C1187">
        <v>-17.017439</v>
      </c>
      <c r="D1187">
        <v>149.92240199717199</v>
      </c>
      <c r="E1187">
        <v>29.907200117480699</v>
      </c>
      <c r="F1187">
        <v>9.2372001174806808</v>
      </c>
    </row>
    <row r="1188" spans="1:6" x14ac:dyDescent="0.2">
      <c r="A1188">
        <v>736787.61490000004</v>
      </c>
      <c r="B1188">
        <v>-149.59800300000001</v>
      </c>
      <c r="C1188">
        <v>-17.017444999999999</v>
      </c>
      <c r="D1188">
        <v>149.92240199717199</v>
      </c>
      <c r="E1188">
        <v>29.907200117480699</v>
      </c>
      <c r="F1188">
        <v>9.2372001174806808</v>
      </c>
    </row>
    <row r="1189" spans="1:6" x14ac:dyDescent="0.2">
      <c r="A1189">
        <v>736787.61490000004</v>
      </c>
      <c r="B1189">
        <v>-149.597994</v>
      </c>
      <c r="C1189">
        <v>-17.017457</v>
      </c>
      <c r="D1189">
        <v>149.92240199717199</v>
      </c>
      <c r="E1189">
        <v>29.907200117480699</v>
      </c>
      <c r="F1189">
        <v>9.2372001174806808</v>
      </c>
    </row>
    <row r="1190" spans="1:6" x14ac:dyDescent="0.2">
      <c r="A1190">
        <v>736787.61499999999</v>
      </c>
      <c r="B1190">
        <v>-149.59797900000001</v>
      </c>
      <c r="C1190">
        <v>-17.017468000000001</v>
      </c>
      <c r="D1190">
        <v>151.5</v>
      </c>
      <c r="E1190">
        <v>30</v>
      </c>
      <c r="F1190">
        <v>9.33</v>
      </c>
    </row>
    <row r="1191" spans="1:6" x14ac:dyDescent="0.2">
      <c r="A1191">
        <v>736787.61499999999</v>
      </c>
      <c r="B1191">
        <v>-149.59796700000001</v>
      </c>
      <c r="C1191">
        <v>-17.017479000000002</v>
      </c>
      <c r="D1191">
        <v>151.5</v>
      </c>
      <c r="E1191">
        <v>30</v>
      </c>
      <c r="F1191">
        <v>9.33</v>
      </c>
    </row>
    <row r="1192" spans="1:6" x14ac:dyDescent="0.2">
      <c r="A1192">
        <v>736787.61499999999</v>
      </c>
      <c r="B1192">
        <v>-149.59796</v>
      </c>
      <c r="C1192">
        <v>-17.017493000000002</v>
      </c>
      <c r="D1192">
        <v>151.5</v>
      </c>
      <c r="E1192">
        <v>30</v>
      </c>
      <c r="F1192">
        <v>9.33</v>
      </c>
    </row>
    <row r="1193" spans="1:6" x14ac:dyDescent="0.2">
      <c r="A1193">
        <v>736787.61499999999</v>
      </c>
      <c r="B1193">
        <v>-149.59795</v>
      </c>
      <c r="C1193">
        <v>-17.017503999999999</v>
      </c>
      <c r="D1193">
        <v>151.5</v>
      </c>
      <c r="E1193">
        <v>30</v>
      </c>
      <c r="F1193">
        <v>9.33</v>
      </c>
    </row>
    <row r="1194" spans="1:6" x14ac:dyDescent="0.2">
      <c r="A1194">
        <v>736787.61499999999</v>
      </c>
      <c r="B1194">
        <v>-149.59793999999999</v>
      </c>
      <c r="C1194">
        <v>-17.017509</v>
      </c>
      <c r="D1194">
        <v>151.5</v>
      </c>
      <c r="E1194">
        <v>30</v>
      </c>
      <c r="F1194">
        <v>9.33</v>
      </c>
    </row>
    <row r="1195" spans="1:6" x14ac:dyDescent="0.2">
      <c r="A1195">
        <v>736787.61499999999</v>
      </c>
      <c r="B1195">
        <v>-149.597928</v>
      </c>
      <c r="C1195">
        <v>-17.017523000000001</v>
      </c>
      <c r="D1195">
        <v>151.5</v>
      </c>
      <c r="E1195">
        <v>30</v>
      </c>
      <c r="F1195">
        <v>9.33</v>
      </c>
    </row>
    <row r="1196" spans="1:6" x14ac:dyDescent="0.2">
      <c r="A1196">
        <v>736787.61499999999</v>
      </c>
      <c r="B1196">
        <v>-149.59791799999999</v>
      </c>
      <c r="C1196">
        <v>-17.017531999999999</v>
      </c>
      <c r="D1196">
        <v>151.5</v>
      </c>
      <c r="E1196">
        <v>30</v>
      </c>
      <c r="F1196">
        <v>9.33</v>
      </c>
    </row>
    <row r="1197" spans="1:6" x14ac:dyDescent="0.2">
      <c r="A1197">
        <v>736787.61510000005</v>
      </c>
      <c r="B1197">
        <v>-149.59791000000001</v>
      </c>
      <c r="C1197">
        <v>-17.017538999999999</v>
      </c>
      <c r="D1197">
        <v>152.32240099134401</v>
      </c>
      <c r="E1197">
        <v>30</v>
      </c>
      <c r="F1197">
        <v>9.3764000619589893</v>
      </c>
    </row>
    <row r="1198" spans="1:6" x14ac:dyDescent="0.2">
      <c r="A1198">
        <v>736787.61510000005</v>
      </c>
      <c r="B1198">
        <v>-149.597905</v>
      </c>
      <c r="C1198">
        <v>-17.017548999999999</v>
      </c>
      <c r="D1198">
        <v>152.32240099134401</v>
      </c>
      <c r="E1198">
        <v>30</v>
      </c>
      <c r="F1198">
        <v>9.3764000619589893</v>
      </c>
    </row>
    <row r="1199" spans="1:6" x14ac:dyDescent="0.2">
      <c r="A1199">
        <v>736787.61510000005</v>
      </c>
      <c r="B1199">
        <v>-149.597893</v>
      </c>
      <c r="C1199">
        <v>-17.017558000000001</v>
      </c>
      <c r="D1199">
        <v>152.32240099134401</v>
      </c>
      <c r="E1199">
        <v>30</v>
      </c>
      <c r="F1199">
        <v>9.3764000619589893</v>
      </c>
    </row>
    <row r="1200" spans="1:6" x14ac:dyDescent="0.2">
      <c r="A1200">
        <v>736787.61510000005</v>
      </c>
      <c r="B1200">
        <v>-149.59788499999999</v>
      </c>
      <c r="C1200">
        <v>-17.017562999999999</v>
      </c>
      <c r="D1200">
        <v>152.32240099134401</v>
      </c>
      <c r="E1200">
        <v>30</v>
      </c>
      <c r="F1200">
        <v>9.3764000619589893</v>
      </c>
    </row>
    <row r="1201" spans="1:6" x14ac:dyDescent="0.2">
      <c r="A1201">
        <v>736787.61510000005</v>
      </c>
      <c r="B1201">
        <v>-149.59787900000001</v>
      </c>
      <c r="C1201">
        <v>-17.017572000000001</v>
      </c>
      <c r="D1201">
        <v>152.32240099134401</v>
      </c>
      <c r="E1201">
        <v>30</v>
      </c>
      <c r="F1201">
        <v>9.3764000619589893</v>
      </c>
    </row>
    <row r="1202" spans="1:6" x14ac:dyDescent="0.2">
      <c r="A1202">
        <v>736787.61510000005</v>
      </c>
      <c r="B1202">
        <v>-149.59786800000001</v>
      </c>
      <c r="C1202">
        <v>-17.017581</v>
      </c>
      <c r="D1202">
        <v>152.32240099134401</v>
      </c>
      <c r="E1202">
        <v>30</v>
      </c>
      <c r="F1202">
        <v>9.3764000619589893</v>
      </c>
    </row>
    <row r="1203" spans="1:6" x14ac:dyDescent="0.2">
      <c r="A1203">
        <v>736787.61510000005</v>
      </c>
      <c r="B1203">
        <v>-149.597859</v>
      </c>
      <c r="C1203">
        <v>-17.017586000000001</v>
      </c>
      <c r="D1203">
        <v>152.32240099134401</v>
      </c>
      <c r="E1203">
        <v>30</v>
      </c>
      <c r="F1203">
        <v>9.3764000619589893</v>
      </c>
    </row>
    <row r="1204" spans="1:6" x14ac:dyDescent="0.2">
      <c r="A1204">
        <v>736787.61510000005</v>
      </c>
      <c r="B1204">
        <v>-149.59785199999999</v>
      </c>
      <c r="C1204">
        <v>-17.017596000000001</v>
      </c>
      <c r="D1204">
        <v>152.32240099134401</v>
      </c>
      <c r="E1204">
        <v>30</v>
      </c>
      <c r="F1204">
        <v>9.3764000619589893</v>
      </c>
    </row>
    <row r="1205" spans="1:6" x14ac:dyDescent="0.2">
      <c r="A1205">
        <v>736787.6152</v>
      </c>
      <c r="B1205">
        <v>-149.597847</v>
      </c>
      <c r="C1205">
        <v>-17.017612</v>
      </c>
      <c r="D1205">
        <v>153.03279970710199</v>
      </c>
      <c r="E1205">
        <v>30</v>
      </c>
      <c r="F1205">
        <v>9.4204799819755305</v>
      </c>
    </row>
    <row r="1206" spans="1:6" x14ac:dyDescent="0.2">
      <c r="A1206">
        <v>736787.6152</v>
      </c>
      <c r="B1206">
        <v>-149.59784200000001</v>
      </c>
      <c r="C1206">
        <v>-17.017620000000001</v>
      </c>
      <c r="D1206">
        <v>153.03279970710199</v>
      </c>
      <c r="E1206">
        <v>30</v>
      </c>
      <c r="F1206">
        <v>9.4204799819755305</v>
      </c>
    </row>
    <row r="1207" spans="1:6" x14ac:dyDescent="0.2">
      <c r="A1207">
        <v>736787.6152</v>
      </c>
      <c r="B1207">
        <v>-149.597836</v>
      </c>
      <c r="C1207">
        <v>-17.017627000000001</v>
      </c>
      <c r="D1207">
        <v>153.03279970710199</v>
      </c>
      <c r="E1207">
        <v>30</v>
      </c>
      <c r="F1207">
        <v>9.4204799819755305</v>
      </c>
    </row>
    <row r="1208" spans="1:6" x14ac:dyDescent="0.2">
      <c r="A1208">
        <v>736787.6152</v>
      </c>
      <c r="B1208">
        <v>-149.597826</v>
      </c>
      <c r="C1208">
        <v>-17.017638999999999</v>
      </c>
      <c r="D1208">
        <v>153.03279970710199</v>
      </c>
      <c r="E1208">
        <v>30</v>
      </c>
      <c r="F1208">
        <v>9.4204799819755305</v>
      </c>
    </row>
    <row r="1209" spans="1:6" x14ac:dyDescent="0.2">
      <c r="A1209">
        <v>736787.6152</v>
      </c>
      <c r="B1209">
        <v>-149.59781799999999</v>
      </c>
      <c r="C1209">
        <v>-17.01765</v>
      </c>
      <c r="D1209">
        <v>153.03279970710199</v>
      </c>
      <c r="E1209">
        <v>30</v>
      </c>
      <c r="F1209">
        <v>9.4204799819755305</v>
      </c>
    </row>
    <row r="1210" spans="1:6" x14ac:dyDescent="0.2">
      <c r="A1210">
        <v>736787.6152</v>
      </c>
      <c r="B1210">
        <v>-149.597813</v>
      </c>
      <c r="C1210">
        <v>-17.017662000000001</v>
      </c>
      <c r="D1210">
        <v>153.03279970710199</v>
      </c>
      <c r="E1210">
        <v>30</v>
      </c>
      <c r="F1210">
        <v>9.4204799819755305</v>
      </c>
    </row>
    <row r="1211" spans="1:6" x14ac:dyDescent="0.2">
      <c r="A1211">
        <v>736787.6152</v>
      </c>
      <c r="B1211">
        <v>-149.597803</v>
      </c>
      <c r="C1211">
        <v>-17.017676000000002</v>
      </c>
      <c r="D1211">
        <v>153.03279970710199</v>
      </c>
      <c r="E1211">
        <v>30</v>
      </c>
      <c r="F1211">
        <v>9.4204799819755305</v>
      </c>
    </row>
    <row r="1212" spans="1:6" x14ac:dyDescent="0.2">
      <c r="A1212">
        <v>736787.6152</v>
      </c>
      <c r="B1212">
        <v>-149.597793</v>
      </c>
      <c r="C1212">
        <v>-17.017681</v>
      </c>
      <c r="D1212">
        <v>153.03279970710199</v>
      </c>
      <c r="E1212">
        <v>30</v>
      </c>
      <c r="F1212">
        <v>9.4204799819755305</v>
      </c>
    </row>
    <row r="1213" spans="1:6" x14ac:dyDescent="0.2">
      <c r="A1213">
        <v>736787.6152</v>
      </c>
      <c r="B1213">
        <v>-149.59778399999999</v>
      </c>
      <c r="C1213">
        <v>-17.017689000000001</v>
      </c>
      <c r="D1213">
        <v>153.03279970710199</v>
      </c>
      <c r="E1213">
        <v>30</v>
      </c>
      <c r="F1213">
        <v>9.4204799819755305</v>
      </c>
    </row>
    <row r="1214" spans="1:6" x14ac:dyDescent="0.2">
      <c r="A1214">
        <v>736787.61529999995</v>
      </c>
      <c r="B1214">
        <v>-149.59777199999999</v>
      </c>
      <c r="C1214">
        <v>-17.017700000000001</v>
      </c>
      <c r="D1214">
        <v>154.09839992919001</v>
      </c>
      <c r="E1214">
        <v>30</v>
      </c>
      <c r="F1214">
        <v>9.48</v>
      </c>
    </row>
    <row r="1215" spans="1:6" x14ac:dyDescent="0.2">
      <c r="A1215">
        <v>736787.61529999995</v>
      </c>
      <c r="B1215">
        <v>-149.59775999999999</v>
      </c>
      <c r="C1215">
        <v>-17.017704999999999</v>
      </c>
      <c r="D1215">
        <v>154.09839992919001</v>
      </c>
      <c r="E1215">
        <v>30</v>
      </c>
      <c r="F1215">
        <v>9.48</v>
      </c>
    </row>
    <row r="1216" spans="1:6" x14ac:dyDescent="0.2">
      <c r="A1216">
        <v>736787.61529999995</v>
      </c>
      <c r="B1216">
        <v>-149.597748</v>
      </c>
      <c r="C1216">
        <v>-17.017710999999998</v>
      </c>
      <c r="D1216">
        <v>154.09839992919001</v>
      </c>
      <c r="E1216">
        <v>30</v>
      </c>
      <c r="F1216">
        <v>9.48</v>
      </c>
    </row>
    <row r="1217" spans="1:6" x14ac:dyDescent="0.2">
      <c r="A1217">
        <v>736787.61529999995</v>
      </c>
      <c r="B1217">
        <v>-149.59773799999999</v>
      </c>
      <c r="C1217">
        <v>-17.017720000000001</v>
      </c>
      <c r="D1217">
        <v>154.09839992919001</v>
      </c>
      <c r="E1217">
        <v>30</v>
      </c>
      <c r="F1217">
        <v>9.48</v>
      </c>
    </row>
    <row r="1218" spans="1:6" x14ac:dyDescent="0.2">
      <c r="A1218">
        <v>736787.61529999995</v>
      </c>
      <c r="B1218">
        <v>-149.59772799999999</v>
      </c>
      <c r="C1218">
        <v>-17.01773</v>
      </c>
      <c r="D1218">
        <v>154.09839992919001</v>
      </c>
      <c r="E1218">
        <v>30</v>
      </c>
      <c r="F1218">
        <v>9.48</v>
      </c>
    </row>
    <row r="1219" spans="1:6" x14ac:dyDescent="0.2">
      <c r="A1219">
        <v>736787.61529999995</v>
      </c>
      <c r="B1219">
        <v>-149.59771799999999</v>
      </c>
      <c r="C1219">
        <v>-17.017741000000001</v>
      </c>
      <c r="D1219">
        <v>154.09839992919001</v>
      </c>
      <c r="E1219">
        <v>30</v>
      </c>
      <c r="F1219">
        <v>9.48</v>
      </c>
    </row>
    <row r="1220" spans="1:6" x14ac:dyDescent="0.2">
      <c r="A1220">
        <v>736787.61529999995</v>
      </c>
      <c r="B1220">
        <v>-149.59770599999999</v>
      </c>
      <c r="C1220">
        <v>-17.017747</v>
      </c>
      <c r="D1220">
        <v>154.09839992919001</v>
      </c>
      <c r="E1220">
        <v>30</v>
      </c>
      <c r="F1220">
        <v>9.48</v>
      </c>
    </row>
    <row r="1221" spans="1:6" x14ac:dyDescent="0.2">
      <c r="A1221">
        <v>736787.61529999995</v>
      </c>
      <c r="B1221">
        <v>-149.59769399999999</v>
      </c>
      <c r="C1221">
        <v>-17.017752999999999</v>
      </c>
      <c r="D1221">
        <v>154.09839992919001</v>
      </c>
      <c r="E1221">
        <v>30</v>
      </c>
      <c r="F1221">
        <v>9.48</v>
      </c>
    </row>
    <row r="1222" spans="1:6" x14ac:dyDescent="0.2">
      <c r="A1222">
        <v>736787.61529999995</v>
      </c>
      <c r="B1222">
        <v>-149.59768399999999</v>
      </c>
      <c r="C1222">
        <v>-17.017766999999999</v>
      </c>
      <c r="D1222">
        <v>154.09839992919001</v>
      </c>
      <c r="E1222">
        <v>30</v>
      </c>
      <c r="F1222">
        <v>9.48</v>
      </c>
    </row>
    <row r="1223" spans="1:6" x14ac:dyDescent="0.2">
      <c r="A1223">
        <v>736787.61540000001</v>
      </c>
      <c r="B1223">
        <v>-149.59767199999999</v>
      </c>
      <c r="C1223">
        <v>-17.017779000000001</v>
      </c>
      <c r="D1223">
        <v>154.5</v>
      </c>
      <c r="E1223">
        <v>30</v>
      </c>
      <c r="F1223">
        <v>9.5028800067591597</v>
      </c>
    </row>
    <row r="1224" spans="1:6" x14ac:dyDescent="0.2">
      <c r="A1224">
        <v>736787.61540000001</v>
      </c>
      <c r="B1224">
        <v>-149.59765200000001</v>
      </c>
      <c r="C1224">
        <v>-17.017789</v>
      </c>
      <c r="D1224">
        <v>154.5</v>
      </c>
      <c r="E1224">
        <v>30</v>
      </c>
      <c r="F1224">
        <v>9.5028800067591597</v>
      </c>
    </row>
    <row r="1225" spans="1:6" x14ac:dyDescent="0.2">
      <c r="A1225">
        <v>736787.61540000001</v>
      </c>
      <c r="B1225">
        <v>-149.59764000000001</v>
      </c>
      <c r="C1225">
        <v>-17.017797999999999</v>
      </c>
      <c r="D1225">
        <v>154.5</v>
      </c>
      <c r="E1225">
        <v>30</v>
      </c>
      <c r="F1225">
        <v>9.5028800067591597</v>
      </c>
    </row>
    <row r="1226" spans="1:6" x14ac:dyDescent="0.2">
      <c r="A1226">
        <v>736787.61540000001</v>
      </c>
      <c r="B1226">
        <v>-149.59763000000001</v>
      </c>
      <c r="C1226">
        <v>-17.017807999999999</v>
      </c>
      <c r="D1226">
        <v>154.5</v>
      </c>
      <c r="E1226">
        <v>30</v>
      </c>
      <c r="F1226">
        <v>9.5028800067591597</v>
      </c>
    </row>
    <row r="1227" spans="1:6" x14ac:dyDescent="0.2">
      <c r="A1227">
        <v>736787.61540000001</v>
      </c>
      <c r="B1227">
        <v>-149.59761399999999</v>
      </c>
      <c r="C1227">
        <v>-17.017823</v>
      </c>
      <c r="D1227">
        <v>154.5</v>
      </c>
      <c r="E1227">
        <v>30</v>
      </c>
      <c r="F1227">
        <v>9.5028800067591597</v>
      </c>
    </row>
    <row r="1228" spans="1:6" x14ac:dyDescent="0.2">
      <c r="A1228">
        <v>736787.61540000001</v>
      </c>
      <c r="B1228">
        <v>-149.59760600000001</v>
      </c>
      <c r="C1228">
        <v>-17.017834000000001</v>
      </c>
      <c r="D1228">
        <v>154.5</v>
      </c>
      <c r="E1228">
        <v>30</v>
      </c>
      <c r="F1228">
        <v>9.5028800067591597</v>
      </c>
    </row>
    <row r="1229" spans="1:6" x14ac:dyDescent="0.2">
      <c r="A1229">
        <v>736787.61549999996</v>
      </c>
      <c r="B1229">
        <v>-149.59759600000001</v>
      </c>
      <c r="C1229">
        <v>-17.017848999999998</v>
      </c>
      <c r="D1229">
        <v>154.74399993562699</v>
      </c>
      <c r="E1229">
        <v>30</v>
      </c>
      <c r="F1229">
        <v>9.5143999935626997</v>
      </c>
    </row>
    <row r="1230" spans="1:6" x14ac:dyDescent="0.2">
      <c r="A1230">
        <v>736787.61549999996</v>
      </c>
      <c r="B1230">
        <v>-149.597588</v>
      </c>
      <c r="C1230">
        <v>-17.017858</v>
      </c>
      <c r="D1230">
        <v>154.74399993562699</v>
      </c>
      <c r="E1230">
        <v>30</v>
      </c>
      <c r="F1230">
        <v>9.5143999935626997</v>
      </c>
    </row>
    <row r="1231" spans="1:6" x14ac:dyDescent="0.2">
      <c r="A1231">
        <v>736787.61549999996</v>
      </c>
      <c r="B1231">
        <v>-149.59757999999999</v>
      </c>
      <c r="C1231">
        <v>-17.017866999999999</v>
      </c>
      <c r="D1231">
        <v>154.74399993562699</v>
      </c>
      <c r="E1231">
        <v>30</v>
      </c>
      <c r="F1231">
        <v>9.5143999935626997</v>
      </c>
    </row>
    <row r="1232" spans="1:6" x14ac:dyDescent="0.2">
      <c r="A1232">
        <v>736787.61549999996</v>
      </c>
      <c r="B1232">
        <v>-149.59756999999999</v>
      </c>
      <c r="C1232">
        <v>-17.017883000000001</v>
      </c>
      <c r="D1232">
        <v>154.74399993562699</v>
      </c>
      <c r="E1232">
        <v>30</v>
      </c>
      <c r="F1232">
        <v>9.5143999935626997</v>
      </c>
    </row>
    <row r="1233" spans="1:6" x14ac:dyDescent="0.2">
      <c r="A1233">
        <v>736787.61549999996</v>
      </c>
      <c r="B1233">
        <v>-149.597554</v>
      </c>
      <c r="C1233">
        <v>-17.017901999999999</v>
      </c>
      <c r="D1233">
        <v>154.74399993562699</v>
      </c>
      <c r="E1233">
        <v>30</v>
      </c>
      <c r="F1233">
        <v>9.5143999935626997</v>
      </c>
    </row>
    <row r="1234" spans="1:6" x14ac:dyDescent="0.2">
      <c r="A1234">
        <v>736787.61549999996</v>
      </c>
      <c r="B1234">
        <v>-149.59754799999999</v>
      </c>
      <c r="C1234">
        <v>-17.017911999999999</v>
      </c>
      <c r="D1234">
        <v>154.74399993562699</v>
      </c>
      <c r="E1234">
        <v>30</v>
      </c>
      <c r="F1234">
        <v>9.5143999935626997</v>
      </c>
    </row>
    <row r="1235" spans="1:6" x14ac:dyDescent="0.2">
      <c r="A1235">
        <v>736787.61549999996</v>
      </c>
      <c r="B1235">
        <v>-149.59754000000001</v>
      </c>
      <c r="C1235">
        <v>-17.017918999999999</v>
      </c>
      <c r="D1235">
        <v>154.74399993562699</v>
      </c>
      <c r="E1235">
        <v>30</v>
      </c>
      <c r="F1235">
        <v>9.5143999935626997</v>
      </c>
    </row>
    <row r="1236" spans="1:6" x14ac:dyDescent="0.2">
      <c r="A1236">
        <v>736787.61560000002</v>
      </c>
      <c r="B1236">
        <v>-149.59753000000001</v>
      </c>
      <c r="C1236">
        <v>-17.017931999999998</v>
      </c>
      <c r="D1236">
        <v>154.73280010943401</v>
      </c>
      <c r="E1236">
        <v>30</v>
      </c>
      <c r="F1236">
        <v>9.51496000820757</v>
      </c>
    </row>
    <row r="1237" spans="1:6" x14ac:dyDescent="0.2">
      <c r="A1237">
        <v>736787.61560000002</v>
      </c>
      <c r="B1237">
        <v>-149.597522</v>
      </c>
      <c r="C1237">
        <v>-17.017946999999999</v>
      </c>
      <c r="D1237">
        <v>154.73280010943401</v>
      </c>
      <c r="E1237">
        <v>30</v>
      </c>
      <c r="F1237">
        <v>9.51496000820757</v>
      </c>
    </row>
    <row r="1238" spans="1:6" x14ac:dyDescent="0.2">
      <c r="A1238">
        <v>736787.61560000002</v>
      </c>
      <c r="B1238">
        <v>-149.59751</v>
      </c>
      <c r="C1238">
        <v>-17.017954</v>
      </c>
      <c r="D1238">
        <v>154.73280010943401</v>
      </c>
      <c r="E1238">
        <v>30</v>
      </c>
      <c r="F1238">
        <v>9.51496000820757</v>
      </c>
    </row>
    <row r="1239" spans="1:6" x14ac:dyDescent="0.2">
      <c r="A1239">
        <v>736787.61560000002</v>
      </c>
      <c r="B1239">
        <v>-149.59750199999999</v>
      </c>
      <c r="C1239">
        <v>-17.017962000000001</v>
      </c>
      <c r="D1239">
        <v>154.73280010943401</v>
      </c>
      <c r="E1239">
        <v>30</v>
      </c>
      <c r="F1239">
        <v>9.51496000820757</v>
      </c>
    </row>
    <row r="1240" spans="1:6" x14ac:dyDescent="0.2">
      <c r="A1240">
        <v>736787.61560000002</v>
      </c>
      <c r="B1240">
        <v>-149.59749199999999</v>
      </c>
      <c r="C1240">
        <v>-17.017968</v>
      </c>
      <c r="D1240">
        <v>154.73280010943401</v>
      </c>
      <c r="E1240">
        <v>30</v>
      </c>
      <c r="F1240">
        <v>9.51496000820757</v>
      </c>
    </row>
    <row r="1241" spans="1:6" x14ac:dyDescent="0.2">
      <c r="A1241">
        <v>736787.61569999997</v>
      </c>
      <c r="B1241">
        <v>-149.597476</v>
      </c>
      <c r="C1241">
        <v>-17.017976000000001</v>
      </c>
      <c r="D1241">
        <v>154.93759965238601</v>
      </c>
      <c r="E1241">
        <v>30.0895999420643</v>
      </c>
      <c r="F1241">
        <v>9.5258399768257291</v>
      </c>
    </row>
    <row r="1242" spans="1:6" x14ac:dyDescent="0.2">
      <c r="A1242">
        <v>736787.61569999997</v>
      </c>
      <c r="B1242">
        <v>-149.597466</v>
      </c>
      <c r="C1242">
        <v>-17.017983000000001</v>
      </c>
      <c r="D1242">
        <v>154.93759965238601</v>
      </c>
      <c r="E1242">
        <v>30.0895999420643</v>
      </c>
      <c r="F1242">
        <v>9.5258399768257291</v>
      </c>
    </row>
    <row r="1243" spans="1:6" x14ac:dyDescent="0.2">
      <c r="A1243">
        <v>736787.61569999997</v>
      </c>
      <c r="B1243">
        <v>-149.59745799999999</v>
      </c>
      <c r="C1243">
        <v>-17.017989</v>
      </c>
      <c r="D1243">
        <v>154.93759965238601</v>
      </c>
      <c r="E1243">
        <v>30.0895999420643</v>
      </c>
      <c r="F1243">
        <v>9.5258399768257291</v>
      </c>
    </row>
    <row r="1244" spans="1:6" x14ac:dyDescent="0.2">
      <c r="A1244">
        <v>736787.61569999997</v>
      </c>
      <c r="B1244">
        <v>-149.597452</v>
      </c>
      <c r="C1244">
        <v>-17.017999</v>
      </c>
      <c r="D1244">
        <v>154.93759965238601</v>
      </c>
      <c r="E1244">
        <v>30.0895999420643</v>
      </c>
      <c r="F1244">
        <v>9.5258399768257291</v>
      </c>
    </row>
    <row r="1245" spans="1:6" x14ac:dyDescent="0.2">
      <c r="A1245">
        <v>736787.61569999997</v>
      </c>
      <c r="B1245">
        <v>-149.597444</v>
      </c>
      <c r="C1245">
        <v>-17.018011000000001</v>
      </c>
      <c r="D1245">
        <v>154.93759965238601</v>
      </c>
      <c r="E1245">
        <v>30.0895999420643</v>
      </c>
      <c r="F1245">
        <v>9.5258399768257291</v>
      </c>
    </row>
    <row r="1246" spans="1:6" x14ac:dyDescent="0.2">
      <c r="A1246">
        <v>736787.61569999997</v>
      </c>
      <c r="B1246">
        <v>-149.59743599999999</v>
      </c>
      <c r="C1246">
        <v>-17.018018999999999</v>
      </c>
      <c r="D1246">
        <v>154.93759965238601</v>
      </c>
      <c r="E1246">
        <v>30.0895999420643</v>
      </c>
      <c r="F1246">
        <v>9.5258399768257291</v>
      </c>
    </row>
    <row r="1247" spans="1:6" x14ac:dyDescent="0.2">
      <c r="A1247">
        <v>736787.61569999997</v>
      </c>
      <c r="B1247">
        <v>-149.59743</v>
      </c>
      <c r="C1247">
        <v>-17.018027</v>
      </c>
      <c r="D1247">
        <v>154.93759965238601</v>
      </c>
      <c r="E1247">
        <v>30.0895999420643</v>
      </c>
      <c r="F1247">
        <v>9.5258399768257291</v>
      </c>
    </row>
    <row r="1248" spans="1:6" x14ac:dyDescent="0.2">
      <c r="A1248">
        <v>736787.61569999997</v>
      </c>
      <c r="B1248">
        <v>-149.59742</v>
      </c>
      <c r="C1248">
        <v>-17.018034</v>
      </c>
      <c r="D1248">
        <v>154.93759965238601</v>
      </c>
      <c r="E1248">
        <v>30.0895999420643</v>
      </c>
      <c r="F1248">
        <v>9.5258399768257291</v>
      </c>
    </row>
    <row r="1249" spans="1:6" x14ac:dyDescent="0.2">
      <c r="A1249">
        <v>736787.61580000003</v>
      </c>
      <c r="B1249">
        <v>-149.59741199999999</v>
      </c>
      <c r="C1249">
        <v>-17.018042999999999</v>
      </c>
      <c r="D1249">
        <v>155.436800495673</v>
      </c>
      <c r="E1249">
        <v>30.1</v>
      </c>
      <c r="F1249">
        <v>9.5549600283241691</v>
      </c>
    </row>
    <row r="1250" spans="1:6" x14ac:dyDescent="0.2">
      <c r="A1250">
        <v>736787.61580000003</v>
      </c>
      <c r="B1250">
        <v>-149.597408</v>
      </c>
      <c r="C1250">
        <v>-17.018056999999999</v>
      </c>
      <c r="D1250">
        <v>155.436800495673</v>
      </c>
      <c r="E1250">
        <v>30.1</v>
      </c>
      <c r="F1250">
        <v>9.5549600283241691</v>
      </c>
    </row>
    <row r="1251" spans="1:6" x14ac:dyDescent="0.2">
      <c r="A1251">
        <v>736787.61580000003</v>
      </c>
      <c r="B1251">
        <v>-149.59740199999999</v>
      </c>
      <c r="C1251">
        <v>-17.018070000000002</v>
      </c>
      <c r="D1251">
        <v>155.436800495673</v>
      </c>
      <c r="E1251">
        <v>30.1</v>
      </c>
      <c r="F1251">
        <v>9.5549600283241691</v>
      </c>
    </row>
    <row r="1252" spans="1:6" x14ac:dyDescent="0.2">
      <c r="A1252">
        <v>736787.61580000003</v>
      </c>
      <c r="B1252">
        <v>-149.59739400000001</v>
      </c>
      <c r="C1252">
        <v>-17.018087999999999</v>
      </c>
      <c r="D1252">
        <v>155.436800495673</v>
      </c>
      <c r="E1252">
        <v>30.1</v>
      </c>
      <c r="F1252">
        <v>9.5549600283241691</v>
      </c>
    </row>
    <row r="1253" spans="1:6" x14ac:dyDescent="0.2">
      <c r="A1253">
        <v>736787.61580000003</v>
      </c>
      <c r="B1253">
        <v>-149.597388</v>
      </c>
      <c r="C1253">
        <v>-17.0181</v>
      </c>
      <c r="D1253">
        <v>155.436800495673</v>
      </c>
      <c r="E1253">
        <v>30.1</v>
      </c>
      <c r="F1253">
        <v>9.5549600283241691</v>
      </c>
    </row>
    <row r="1254" spans="1:6" x14ac:dyDescent="0.2">
      <c r="A1254">
        <v>736787.61580000003</v>
      </c>
      <c r="B1254">
        <v>-149.59737999999999</v>
      </c>
      <c r="C1254">
        <v>-17.018108999999999</v>
      </c>
      <c r="D1254">
        <v>155.436800495673</v>
      </c>
      <c r="E1254">
        <v>30.1</v>
      </c>
      <c r="F1254">
        <v>9.5549600283241691</v>
      </c>
    </row>
    <row r="1255" spans="1:6" x14ac:dyDescent="0.2">
      <c r="A1255">
        <v>736787.61580000003</v>
      </c>
      <c r="B1255">
        <v>-149.597374</v>
      </c>
      <c r="C1255">
        <v>-17.018118999999999</v>
      </c>
      <c r="D1255">
        <v>155.436800495673</v>
      </c>
      <c r="E1255">
        <v>30.1</v>
      </c>
      <c r="F1255">
        <v>9.5549600283241691</v>
      </c>
    </row>
    <row r="1256" spans="1:6" x14ac:dyDescent="0.2">
      <c r="A1256">
        <v>736787.61580000003</v>
      </c>
      <c r="B1256">
        <v>-149.59736799999999</v>
      </c>
      <c r="C1256">
        <v>-17.018132000000001</v>
      </c>
      <c r="D1256">
        <v>155.436800495673</v>
      </c>
      <c r="E1256">
        <v>30.1</v>
      </c>
      <c r="F1256">
        <v>9.5549600283241691</v>
      </c>
    </row>
    <row r="1257" spans="1:6" x14ac:dyDescent="0.2">
      <c r="A1257">
        <v>736787.61589999998</v>
      </c>
      <c r="B1257">
        <v>-149.59736000000001</v>
      </c>
      <c r="C1257">
        <v>-17.018143999999999</v>
      </c>
      <c r="D1257">
        <v>156.6</v>
      </c>
      <c r="E1257">
        <v>30.1</v>
      </c>
      <c r="F1257">
        <v>9.6164800051498407</v>
      </c>
    </row>
    <row r="1258" spans="1:6" x14ac:dyDescent="0.2">
      <c r="A1258">
        <v>736787.61589999998</v>
      </c>
      <c r="B1258">
        <v>-149.597354</v>
      </c>
      <c r="C1258">
        <v>-17.018155</v>
      </c>
      <c r="D1258">
        <v>156.6</v>
      </c>
      <c r="E1258">
        <v>30.1</v>
      </c>
      <c r="F1258">
        <v>9.6164800051498407</v>
      </c>
    </row>
    <row r="1259" spans="1:6" x14ac:dyDescent="0.2">
      <c r="A1259">
        <v>736787.61589999998</v>
      </c>
      <c r="B1259">
        <v>-149.597352</v>
      </c>
      <c r="C1259">
        <v>-17.018169</v>
      </c>
      <c r="D1259">
        <v>156.6</v>
      </c>
      <c r="E1259">
        <v>30.1</v>
      </c>
      <c r="F1259">
        <v>9.6164800051498407</v>
      </c>
    </row>
    <row r="1260" spans="1:6" x14ac:dyDescent="0.2">
      <c r="A1260">
        <v>736787.61589999998</v>
      </c>
      <c r="B1260">
        <v>-149.59735800000001</v>
      </c>
      <c r="C1260">
        <v>-17.018189</v>
      </c>
      <c r="D1260">
        <v>156.6</v>
      </c>
      <c r="E1260">
        <v>30.1</v>
      </c>
      <c r="F1260">
        <v>9.6164800051498407</v>
      </c>
    </row>
    <row r="1261" spans="1:6" x14ac:dyDescent="0.2">
      <c r="A1261">
        <v>736787.61589999998</v>
      </c>
      <c r="B1261">
        <v>-149.59735599999999</v>
      </c>
      <c r="C1261">
        <v>-17.018204999999998</v>
      </c>
      <c r="D1261">
        <v>156.6</v>
      </c>
      <c r="E1261">
        <v>30.1</v>
      </c>
      <c r="F1261">
        <v>9.6164800051498407</v>
      </c>
    </row>
    <row r="1262" spans="1:6" x14ac:dyDescent="0.2">
      <c r="A1262">
        <v>736787.61589999998</v>
      </c>
      <c r="B1262">
        <v>-149.597352</v>
      </c>
      <c r="C1262">
        <v>-17.018217</v>
      </c>
      <c r="D1262">
        <v>156.6</v>
      </c>
      <c r="E1262">
        <v>30.1</v>
      </c>
      <c r="F1262">
        <v>9.6164800051498407</v>
      </c>
    </row>
    <row r="1263" spans="1:6" x14ac:dyDescent="0.2">
      <c r="A1263">
        <v>736787.61589999998</v>
      </c>
      <c r="B1263">
        <v>-149.59735000000001</v>
      </c>
      <c r="C1263">
        <v>-17.018229000000002</v>
      </c>
      <c r="D1263">
        <v>156.6</v>
      </c>
      <c r="E1263">
        <v>30.1</v>
      </c>
      <c r="F1263">
        <v>9.6164800051498407</v>
      </c>
    </row>
    <row r="1264" spans="1:6" x14ac:dyDescent="0.2">
      <c r="A1264">
        <v>736787.61589999998</v>
      </c>
      <c r="B1264">
        <v>-149.59734599999999</v>
      </c>
      <c r="C1264">
        <v>-17.018239000000001</v>
      </c>
      <c r="D1264">
        <v>156.6</v>
      </c>
      <c r="E1264">
        <v>30.1</v>
      </c>
      <c r="F1264">
        <v>9.6164800051498407</v>
      </c>
    </row>
    <row r="1265" spans="1:6" x14ac:dyDescent="0.2">
      <c r="A1265">
        <v>736787.61600000004</v>
      </c>
      <c r="B1265">
        <v>-149.59733499999999</v>
      </c>
      <c r="C1265">
        <v>-17.018249999999998</v>
      </c>
      <c r="D1265">
        <v>157.75200290483099</v>
      </c>
      <c r="E1265">
        <v>30.108000152885801</v>
      </c>
      <c r="F1265">
        <v>9.6880001528858202</v>
      </c>
    </row>
    <row r="1266" spans="1:6" x14ac:dyDescent="0.2">
      <c r="A1266">
        <v>736787.61600000004</v>
      </c>
      <c r="B1266">
        <v>-149.59732</v>
      </c>
      <c r="C1266">
        <v>-17.018257999999999</v>
      </c>
      <c r="D1266">
        <v>157.75200290483099</v>
      </c>
      <c r="E1266">
        <v>30.108000152885801</v>
      </c>
      <c r="F1266">
        <v>9.6880001528858202</v>
      </c>
    </row>
    <row r="1267" spans="1:6" x14ac:dyDescent="0.2">
      <c r="A1267">
        <v>736787.61600000004</v>
      </c>
      <c r="B1267">
        <v>-149.59731600000001</v>
      </c>
      <c r="C1267">
        <v>-17.018270000000001</v>
      </c>
      <c r="D1267">
        <v>157.75200290483099</v>
      </c>
      <c r="E1267">
        <v>30.108000152885801</v>
      </c>
      <c r="F1267">
        <v>9.6880001528858202</v>
      </c>
    </row>
    <row r="1268" spans="1:6" x14ac:dyDescent="0.2">
      <c r="A1268">
        <v>736787.61600000004</v>
      </c>
      <c r="B1268">
        <v>-149.59729799999999</v>
      </c>
      <c r="C1268">
        <v>-17.018276</v>
      </c>
      <c r="D1268">
        <v>157.75200290483099</v>
      </c>
      <c r="E1268">
        <v>30.108000152885801</v>
      </c>
      <c r="F1268">
        <v>9.6880001528858202</v>
      </c>
    </row>
    <row r="1269" spans="1:6" x14ac:dyDescent="0.2">
      <c r="A1269">
        <v>736787.61600000004</v>
      </c>
      <c r="B1269">
        <v>-149.597286</v>
      </c>
      <c r="C1269">
        <v>-17.018281999999999</v>
      </c>
      <c r="D1269">
        <v>157.75200290483099</v>
      </c>
      <c r="E1269">
        <v>30.108000152885801</v>
      </c>
      <c r="F1269">
        <v>9.6880001528858202</v>
      </c>
    </row>
    <row r="1270" spans="1:6" x14ac:dyDescent="0.2">
      <c r="A1270">
        <v>736787.61600000004</v>
      </c>
      <c r="B1270">
        <v>-149.59727599999999</v>
      </c>
      <c r="C1270">
        <v>-17.018284999999999</v>
      </c>
      <c r="D1270">
        <v>157.75200290483099</v>
      </c>
      <c r="E1270">
        <v>30.108000152885801</v>
      </c>
      <c r="F1270">
        <v>9.6880001528858202</v>
      </c>
    </row>
    <row r="1271" spans="1:6" x14ac:dyDescent="0.2">
      <c r="A1271">
        <v>736787.61609999998</v>
      </c>
      <c r="B1271">
        <v>-149.597262</v>
      </c>
      <c r="C1271">
        <v>-17.018291000000001</v>
      </c>
      <c r="D1271">
        <v>160.22719959445001</v>
      </c>
      <c r="E1271">
        <v>30.2</v>
      </c>
      <c r="F1271">
        <v>9.8203999774694601</v>
      </c>
    </row>
    <row r="1272" spans="1:6" x14ac:dyDescent="0.2">
      <c r="A1272">
        <v>736787.61609999998</v>
      </c>
      <c r="B1272">
        <v>-149.597251</v>
      </c>
      <c r="C1272">
        <v>-17.018297</v>
      </c>
      <c r="D1272">
        <v>160.22719959445001</v>
      </c>
      <c r="E1272">
        <v>30.2</v>
      </c>
      <c r="F1272">
        <v>9.8203999774694601</v>
      </c>
    </row>
    <row r="1273" spans="1:6" x14ac:dyDescent="0.2">
      <c r="A1273">
        <v>736787.61609999998</v>
      </c>
      <c r="B1273">
        <v>-149.597241</v>
      </c>
      <c r="C1273">
        <v>-17.018301999999998</v>
      </c>
      <c r="D1273">
        <v>160.22719959445001</v>
      </c>
      <c r="E1273">
        <v>30.2</v>
      </c>
      <c r="F1273">
        <v>9.8203999774694601</v>
      </c>
    </row>
    <row r="1274" spans="1:6" x14ac:dyDescent="0.2">
      <c r="A1274">
        <v>736787.61609999998</v>
      </c>
      <c r="B1274">
        <v>-149.597228</v>
      </c>
      <c r="C1274">
        <v>-17.018308999999999</v>
      </c>
      <c r="D1274">
        <v>160.22719959445001</v>
      </c>
      <c r="E1274">
        <v>30.2</v>
      </c>
      <c r="F1274">
        <v>9.8203999774694601</v>
      </c>
    </row>
    <row r="1275" spans="1:6" x14ac:dyDescent="0.2">
      <c r="A1275">
        <v>736787.61609999998</v>
      </c>
      <c r="B1275">
        <v>-149.59720799999999</v>
      </c>
      <c r="C1275">
        <v>-17.018311000000001</v>
      </c>
      <c r="D1275">
        <v>160.22719959445001</v>
      </c>
      <c r="E1275">
        <v>30.2</v>
      </c>
      <c r="F1275">
        <v>9.8203999774694601</v>
      </c>
    </row>
    <row r="1276" spans="1:6" x14ac:dyDescent="0.2">
      <c r="A1276">
        <v>736787.61609999998</v>
      </c>
      <c r="B1276">
        <v>-149.597193</v>
      </c>
      <c r="C1276">
        <v>-17.018315000000001</v>
      </c>
      <c r="D1276">
        <v>160.22719959445001</v>
      </c>
      <c r="E1276">
        <v>30.2</v>
      </c>
      <c r="F1276">
        <v>9.8203999774694601</v>
      </c>
    </row>
    <row r="1277" spans="1:6" x14ac:dyDescent="0.2">
      <c r="A1277">
        <v>736787.61609999998</v>
      </c>
      <c r="B1277">
        <v>-149.597182</v>
      </c>
      <c r="C1277">
        <v>-17.018321</v>
      </c>
      <c r="D1277">
        <v>160.22719959445001</v>
      </c>
      <c r="E1277">
        <v>30.2</v>
      </c>
      <c r="F1277">
        <v>9.8203999774694601</v>
      </c>
    </row>
    <row r="1278" spans="1:6" x14ac:dyDescent="0.2">
      <c r="A1278">
        <v>736787.61609999998</v>
      </c>
      <c r="B1278">
        <v>-149.59717000000001</v>
      </c>
      <c r="C1278">
        <v>-17.018329000000001</v>
      </c>
      <c r="D1278">
        <v>160.22719959445001</v>
      </c>
      <c r="E1278">
        <v>30.2</v>
      </c>
      <c r="F1278">
        <v>9.8203999774694601</v>
      </c>
    </row>
    <row r="1279" spans="1:6" x14ac:dyDescent="0.2">
      <c r="A1279">
        <v>736787.61620000005</v>
      </c>
      <c r="B1279">
        <v>-149.59716</v>
      </c>
      <c r="C1279">
        <v>-17.018339999999998</v>
      </c>
      <c r="D1279">
        <v>161.04320079178899</v>
      </c>
      <c r="E1279">
        <v>30.2</v>
      </c>
      <c r="F1279">
        <v>9.8728800527859502</v>
      </c>
    </row>
    <row r="1280" spans="1:6" x14ac:dyDescent="0.2">
      <c r="A1280">
        <v>736787.61620000005</v>
      </c>
      <c r="B1280">
        <v>-149.59714199999999</v>
      </c>
      <c r="C1280">
        <v>-17.018349000000001</v>
      </c>
      <c r="D1280">
        <v>161.04320079178899</v>
      </c>
      <c r="E1280">
        <v>30.2</v>
      </c>
      <c r="F1280">
        <v>9.8728800527859502</v>
      </c>
    </row>
    <row r="1281" spans="1:6" x14ac:dyDescent="0.2">
      <c r="A1281">
        <v>736787.61620000005</v>
      </c>
      <c r="B1281">
        <v>-149.59713300000001</v>
      </c>
      <c r="C1281">
        <v>-17.018360999999999</v>
      </c>
      <c r="D1281">
        <v>161.04320079178899</v>
      </c>
      <c r="E1281">
        <v>30.2</v>
      </c>
      <c r="F1281">
        <v>9.8728800527859502</v>
      </c>
    </row>
    <row r="1282" spans="1:6" x14ac:dyDescent="0.2">
      <c r="A1282">
        <v>736787.61620000005</v>
      </c>
      <c r="B1282">
        <v>-149.59712500000001</v>
      </c>
      <c r="C1282">
        <v>-17.018371999999999</v>
      </c>
      <c r="D1282">
        <v>161.04320079178899</v>
      </c>
      <c r="E1282">
        <v>30.2</v>
      </c>
      <c r="F1282">
        <v>9.8728800527859502</v>
      </c>
    </row>
    <row r="1283" spans="1:6" x14ac:dyDescent="0.2">
      <c r="A1283">
        <v>736787.61620000005</v>
      </c>
      <c r="B1283">
        <v>-149.59711899999999</v>
      </c>
      <c r="C1283">
        <v>-17.018380000000001</v>
      </c>
      <c r="D1283">
        <v>161.04320079178899</v>
      </c>
      <c r="E1283">
        <v>30.2</v>
      </c>
      <c r="F1283">
        <v>9.8728800527859502</v>
      </c>
    </row>
    <row r="1284" spans="1:6" x14ac:dyDescent="0.2">
      <c r="A1284">
        <v>736787.61620000005</v>
      </c>
      <c r="B1284">
        <v>-149.597116</v>
      </c>
      <c r="C1284">
        <v>-17.018391999999999</v>
      </c>
      <c r="D1284">
        <v>161.04320079178899</v>
      </c>
      <c r="E1284">
        <v>30.2</v>
      </c>
      <c r="F1284">
        <v>9.8728800527859502</v>
      </c>
    </row>
    <row r="1285" spans="1:6" x14ac:dyDescent="0.2">
      <c r="A1285">
        <v>736787.61620000005</v>
      </c>
      <c r="B1285">
        <v>-149.59710999999999</v>
      </c>
      <c r="C1285">
        <v>-17.018405000000001</v>
      </c>
      <c r="D1285">
        <v>161.04320079178899</v>
      </c>
      <c r="E1285">
        <v>30.2</v>
      </c>
      <c r="F1285">
        <v>9.8728800527859502</v>
      </c>
    </row>
    <row r="1286" spans="1:6" x14ac:dyDescent="0.2">
      <c r="A1286">
        <v>736787.61629999999</v>
      </c>
      <c r="B1286">
        <v>-149.597105</v>
      </c>
      <c r="C1286">
        <v>-17.018415000000001</v>
      </c>
      <c r="D1286">
        <v>161.80000000000001</v>
      </c>
      <c r="E1286">
        <v>30.3</v>
      </c>
      <c r="F1286">
        <v>9.9173600038623793</v>
      </c>
    </row>
    <row r="1287" spans="1:6" x14ac:dyDescent="0.2">
      <c r="A1287">
        <v>736787.61629999999</v>
      </c>
      <c r="B1287">
        <v>-149.59710000000001</v>
      </c>
      <c r="C1287">
        <v>-17.018424</v>
      </c>
      <c r="D1287">
        <v>161.80000000000001</v>
      </c>
      <c r="E1287">
        <v>30.3</v>
      </c>
      <c r="F1287">
        <v>9.9173600038623793</v>
      </c>
    </row>
    <row r="1288" spans="1:6" x14ac:dyDescent="0.2">
      <c r="A1288">
        <v>736787.61629999999</v>
      </c>
      <c r="B1288">
        <v>-149.59710000000001</v>
      </c>
      <c r="C1288">
        <v>-17.018436000000001</v>
      </c>
      <c r="D1288">
        <v>161.80000000000001</v>
      </c>
      <c r="E1288">
        <v>30.3</v>
      </c>
      <c r="F1288">
        <v>9.9173600038623793</v>
      </c>
    </row>
    <row r="1289" spans="1:6" x14ac:dyDescent="0.2">
      <c r="A1289">
        <v>736787.61629999999</v>
      </c>
      <c r="B1289">
        <v>-149.59709599999999</v>
      </c>
      <c r="C1289">
        <v>-17.018447999999999</v>
      </c>
      <c r="D1289">
        <v>161.80000000000001</v>
      </c>
      <c r="E1289">
        <v>30.3</v>
      </c>
      <c r="F1289">
        <v>9.9173600038623793</v>
      </c>
    </row>
    <row r="1290" spans="1:6" x14ac:dyDescent="0.2">
      <c r="A1290">
        <v>736787.61629999999</v>
      </c>
      <c r="B1290">
        <v>-149.59708699999999</v>
      </c>
      <c r="C1290">
        <v>-17.018460999999999</v>
      </c>
      <c r="D1290">
        <v>161.80000000000001</v>
      </c>
      <c r="E1290">
        <v>30.3</v>
      </c>
      <c r="F1290">
        <v>9.9173600038623793</v>
      </c>
    </row>
    <row r="1291" spans="1:6" x14ac:dyDescent="0.2">
      <c r="A1291">
        <v>736787.61629999999</v>
      </c>
      <c r="B1291">
        <v>-149.597081</v>
      </c>
      <c r="C1291">
        <v>-17.018470000000001</v>
      </c>
      <c r="D1291">
        <v>161.80000000000001</v>
      </c>
      <c r="E1291">
        <v>30.3</v>
      </c>
      <c r="F1291">
        <v>9.9173600038623793</v>
      </c>
    </row>
    <row r="1292" spans="1:6" x14ac:dyDescent="0.2">
      <c r="A1292">
        <v>736787.61629999999</v>
      </c>
      <c r="B1292">
        <v>-149.59707599999999</v>
      </c>
      <c r="C1292">
        <v>-17.018478999999999</v>
      </c>
      <c r="D1292">
        <v>161.80000000000001</v>
      </c>
      <c r="E1292">
        <v>30.3</v>
      </c>
      <c r="F1292">
        <v>9.9173600038623793</v>
      </c>
    </row>
    <row r="1293" spans="1:6" x14ac:dyDescent="0.2">
      <c r="A1293">
        <v>736787.61629999999</v>
      </c>
      <c r="B1293">
        <v>-149.597071</v>
      </c>
      <c r="C1293">
        <v>-17.01849</v>
      </c>
      <c r="D1293">
        <v>161.80000000000001</v>
      </c>
      <c r="E1293">
        <v>30.3</v>
      </c>
      <c r="F1293">
        <v>9.9173600038623793</v>
      </c>
    </row>
    <row r="1294" spans="1:6" x14ac:dyDescent="0.2">
      <c r="A1294">
        <v>736787.61640000006</v>
      </c>
      <c r="B1294">
        <v>-149.59705700000001</v>
      </c>
      <c r="C1294">
        <v>-17.0185</v>
      </c>
      <c r="D1294">
        <v>162.296000820757</v>
      </c>
      <c r="E1294">
        <v>30.3</v>
      </c>
      <c r="F1294">
        <v>9.9397600492454306</v>
      </c>
    </row>
    <row r="1295" spans="1:6" x14ac:dyDescent="0.2">
      <c r="A1295">
        <v>736787.61640000006</v>
      </c>
      <c r="B1295">
        <v>-149.597048</v>
      </c>
      <c r="C1295">
        <v>-17.018508000000001</v>
      </c>
      <c r="D1295">
        <v>162.296000820757</v>
      </c>
      <c r="E1295">
        <v>30.3</v>
      </c>
      <c r="F1295">
        <v>9.9397600492454306</v>
      </c>
    </row>
    <row r="1296" spans="1:6" x14ac:dyDescent="0.2">
      <c r="A1296">
        <v>736787.61640000006</v>
      </c>
      <c r="B1296">
        <v>-149.59703999999999</v>
      </c>
      <c r="C1296">
        <v>-17.018516999999999</v>
      </c>
      <c r="D1296">
        <v>162.296000820757</v>
      </c>
      <c r="E1296">
        <v>30.3</v>
      </c>
      <c r="F1296">
        <v>9.9397600492454306</v>
      </c>
    </row>
    <row r="1297" spans="1:6" x14ac:dyDescent="0.2">
      <c r="A1297">
        <v>736787.61640000006</v>
      </c>
      <c r="B1297">
        <v>-149.59702999999999</v>
      </c>
      <c r="C1297">
        <v>-17.018526999999999</v>
      </c>
      <c r="D1297">
        <v>162.296000820757</v>
      </c>
      <c r="E1297">
        <v>30.3</v>
      </c>
      <c r="F1297">
        <v>9.9397600492454306</v>
      </c>
    </row>
    <row r="1298" spans="1:6" x14ac:dyDescent="0.2">
      <c r="A1298">
        <v>736787.61640000006</v>
      </c>
      <c r="B1298">
        <v>-149.59702200000001</v>
      </c>
      <c r="C1298">
        <v>-17.018533000000001</v>
      </c>
      <c r="D1298">
        <v>162.296000820757</v>
      </c>
      <c r="E1298">
        <v>30.3</v>
      </c>
      <c r="F1298">
        <v>9.9397600492454306</v>
      </c>
    </row>
    <row r="1299" spans="1:6" x14ac:dyDescent="0.2">
      <c r="A1299">
        <v>736787.61640000006</v>
      </c>
      <c r="B1299">
        <v>-149.597005</v>
      </c>
      <c r="C1299">
        <v>-17.018546000000001</v>
      </c>
      <c r="D1299">
        <v>162.296000820757</v>
      </c>
      <c r="E1299">
        <v>30.3</v>
      </c>
      <c r="F1299">
        <v>9.9397600492454306</v>
      </c>
    </row>
    <row r="1300" spans="1:6" x14ac:dyDescent="0.2">
      <c r="A1300">
        <v>736787.61640000006</v>
      </c>
      <c r="B1300">
        <v>-149.59699499999999</v>
      </c>
      <c r="C1300">
        <v>-17.018554000000002</v>
      </c>
      <c r="D1300">
        <v>162.296000820757</v>
      </c>
      <c r="E1300">
        <v>30.3</v>
      </c>
      <c r="F1300">
        <v>9.9397600492454306</v>
      </c>
    </row>
    <row r="1301" spans="1:6" x14ac:dyDescent="0.2">
      <c r="A1301">
        <v>736787.61640000006</v>
      </c>
      <c r="B1301">
        <v>-149.59698800000001</v>
      </c>
      <c r="C1301">
        <v>-17.018560000000001</v>
      </c>
      <c r="D1301">
        <v>162.296000820757</v>
      </c>
      <c r="E1301">
        <v>30.3</v>
      </c>
      <c r="F1301">
        <v>9.9397600492454306</v>
      </c>
    </row>
    <row r="1302" spans="1:6" x14ac:dyDescent="0.2">
      <c r="A1302">
        <v>736787.6165</v>
      </c>
      <c r="B1302">
        <v>-149.596979</v>
      </c>
      <c r="C1302">
        <v>-17.018564000000001</v>
      </c>
      <c r="D1302">
        <v>162.4</v>
      </c>
      <c r="E1302">
        <v>30.371999967813501</v>
      </c>
      <c r="F1302">
        <v>9.9428000032186503</v>
      </c>
    </row>
    <row r="1303" spans="1:6" x14ac:dyDescent="0.2">
      <c r="A1303">
        <v>736787.6165</v>
      </c>
      <c r="B1303">
        <v>-149.59697199999999</v>
      </c>
      <c r="C1303">
        <v>-17.018571999999999</v>
      </c>
      <c r="D1303">
        <v>162.4</v>
      </c>
      <c r="E1303">
        <v>30.371999967813501</v>
      </c>
      <c r="F1303">
        <v>9.9428000032186503</v>
      </c>
    </row>
    <row r="1304" spans="1:6" x14ac:dyDescent="0.2">
      <c r="A1304">
        <v>736787.6165</v>
      </c>
      <c r="B1304">
        <v>-149.596959</v>
      </c>
      <c r="C1304">
        <v>-17.01858</v>
      </c>
      <c r="D1304">
        <v>162.4</v>
      </c>
      <c r="E1304">
        <v>30.371999967813501</v>
      </c>
      <c r="F1304">
        <v>9.9428000032186503</v>
      </c>
    </row>
    <row r="1305" spans="1:6" x14ac:dyDescent="0.2">
      <c r="A1305">
        <v>736787.6165</v>
      </c>
      <c r="B1305">
        <v>-149.596948</v>
      </c>
      <c r="C1305">
        <v>-17.018583</v>
      </c>
      <c r="D1305">
        <v>162.4</v>
      </c>
      <c r="E1305">
        <v>30.371999967813501</v>
      </c>
      <c r="F1305">
        <v>9.9428000032186503</v>
      </c>
    </row>
    <row r="1306" spans="1:6" x14ac:dyDescent="0.2">
      <c r="A1306">
        <v>736787.6165</v>
      </c>
      <c r="B1306">
        <v>-149.59693999999999</v>
      </c>
      <c r="C1306">
        <v>-17.018588000000001</v>
      </c>
      <c r="D1306">
        <v>162.4</v>
      </c>
      <c r="E1306">
        <v>30.371999967813501</v>
      </c>
      <c r="F1306">
        <v>9.9428000032186503</v>
      </c>
    </row>
    <row r="1307" spans="1:6" x14ac:dyDescent="0.2">
      <c r="A1307">
        <v>736787.6165</v>
      </c>
      <c r="B1307">
        <v>-149.59692699999999</v>
      </c>
      <c r="C1307">
        <v>-17.018598000000001</v>
      </c>
      <c r="D1307">
        <v>162.4</v>
      </c>
      <c r="E1307">
        <v>30.371999967813501</v>
      </c>
      <c r="F1307">
        <v>9.9428000032186503</v>
      </c>
    </row>
    <row r="1308" spans="1:6" x14ac:dyDescent="0.2">
      <c r="A1308">
        <v>736787.6165</v>
      </c>
      <c r="B1308">
        <v>-149.59691599999999</v>
      </c>
      <c r="C1308">
        <v>-17.018604</v>
      </c>
      <c r="D1308">
        <v>162.4</v>
      </c>
      <c r="E1308">
        <v>30.371999967813501</v>
      </c>
      <c r="F1308">
        <v>9.9428000032186503</v>
      </c>
    </row>
    <row r="1309" spans="1:6" x14ac:dyDescent="0.2">
      <c r="A1309">
        <v>736787.6165</v>
      </c>
      <c r="B1309">
        <v>-149.59690399999999</v>
      </c>
      <c r="C1309">
        <v>-17.018609999999999</v>
      </c>
      <c r="D1309">
        <v>162.4</v>
      </c>
      <c r="E1309">
        <v>30.371999967813501</v>
      </c>
      <c r="F1309">
        <v>9.9428000032186503</v>
      </c>
    </row>
    <row r="1310" spans="1:6" x14ac:dyDescent="0.2">
      <c r="A1310">
        <v>736787.61659999995</v>
      </c>
      <c r="B1310">
        <v>-149.59689599999999</v>
      </c>
      <c r="C1310">
        <v>-17.018615</v>
      </c>
      <c r="D1310">
        <v>162.32399985516099</v>
      </c>
      <c r="E1310">
        <v>30.4</v>
      </c>
      <c r="F1310">
        <v>9.9334399913096494</v>
      </c>
    </row>
    <row r="1311" spans="1:6" x14ac:dyDescent="0.2">
      <c r="A1311">
        <v>736787.61659999995</v>
      </c>
      <c r="B1311">
        <v>-149.59687299999999</v>
      </c>
      <c r="C1311">
        <v>-17.018628</v>
      </c>
      <c r="D1311">
        <v>162.32399985516099</v>
      </c>
      <c r="E1311">
        <v>30.4</v>
      </c>
      <c r="F1311">
        <v>9.9334399913096494</v>
      </c>
    </row>
    <row r="1312" spans="1:6" x14ac:dyDescent="0.2">
      <c r="A1312">
        <v>736787.61659999995</v>
      </c>
      <c r="B1312">
        <v>-149.59685999999999</v>
      </c>
      <c r="C1312">
        <v>-17.018639</v>
      </c>
      <c r="D1312">
        <v>162.32399985516099</v>
      </c>
      <c r="E1312">
        <v>30.4</v>
      </c>
      <c r="F1312">
        <v>9.9334399913096494</v>
      </c>
    </row>
    <row r="1313" spans="1:6" x14ac:dyDescent="0.2">
      <c r="A1313">
        <v>736787.61659999995</v>
      </c>
      <c r="B1313">
        <v>-149.59684799999999</v>
      </c>
      <c r="C1313">
        <v>-17.018647000000001</v>
      </c>
      <c r="D1313">
        <v>162.32399985516099</v>
      </c>
      <c r="E1313">
        <v>30.4</v>
      </c>
      <c r="F1313">
        <v>9.9334399913096494</v>
      </c>
    </row>
    <row r="1314" spans="1:6" x14ac:dyDescent="0.2">
      <c r="A1314">
        <v>736787.61659999995</v>
      </c>
      <c r="B1314">
        <v>-149.596835</v>
      </c>
      <c r="C1314">
        <v>-17.018651999999999</v>
      </c>
      <c r="D1314">
        <v>162.32399985516099</v>
      </c>
      <c r="E1314">
        <v>30.4</v>
      </c>
      <c r="F1314">
        <v>9.9334399913096494</v>
      </c>
    </row>
    <row r="1315" spans="1:6" x14ac:dyDescent="0.2">
      <c r="A1315">
        <v>736787.61659999995</v>
      </c>
      <c r="B1315">
        <v>-149.59682000000001</v>
      </c>
      <c r="C1315">
        <v>-17.018657000000001</v>
      </c>
      <c r="D1315">
        <v>162.32399985516099</v>
      </c>
      <c r="E1315">
        <v>30.4</v>
      </c>
      <c r="F1315">
        <v>9.9334399913096494</v>
      </c>
    </row>
    <row r="1316" spans="1:6" x14ac:dyDescent="0.2">
      <c r="A1316">
        <v>736787.61659999995</v>
      </c>
      <c r="B1316">
        <v>-149.59680599999999</v>
      </c>
      <c r="C1316">
        <v>-17.018667000000001</v>
      </c>
      <c r="D1316">
        <v>162.32399985516099</v>
      </c>
      <c r="E1316">
        <v>30.4</v>
      </c>
      <c r="F1316">
        <v>9.9334399913096494</v>
      </c>
    </row>
    <row r="1317" spans="1:6" x14ac:dyDescent="0.2">
      <c r="A1317">
        <v>736787.61670000001</v>
      </c>
      <c r="B1317">
        <v>-149.596791</v>
      </c>
      <c r="C1317">
        <v>-17.018675999999999</v>
      </c>
      <c r="D1317">
        <v>162.582400025749</v>
      </c>
      <c r="E1317">
        <v>30.4</v>
      </c>
      <c r="F1317">
        <v>9.94824000257492</v>
      </c>
    </row>
    <row r="1318" spans="1:6" x14ac:dyDescent="0.2">
      <c r="A1318">
        <v>736787.61670000001</v>
      </c>
      <c r="B1318">
        <v>-149.59678099999999</v>
      </c>
      <c r="C1318">
        <v>-17.018678999999999</v>
      </c>
      <c r="D1318">
        <v>162.582400025749</v>
      </c>
      <c r="E1318">
        <v>30.4</v>
      </c>
      <c r="F1318">
        <v>9.94824000257492</v>
      </c>
    </row>
    <row r="1319" spans="1:6" x14ac:dyDescent="0.2">
      <c r="A1319">
        <v>736787.61670000001</v>
      </c>
      <c r="B1319">
        <v>-149.59677099999999</v>
      </c>
      <c r="C1319">
        <v>-17.018682999999999</v>
      </c>
      <c r="D1319">
        <v>162.582400025749</v>
      </c>
      <c r="E1319">
        <v>30.4</v>
      </c>
      <c r="F1319">
        <v>9.94824000257492</v>
      </c>
    </row>
    <row r="1320" spans="1:6" x14ac:dyDescent="0.2">
      <c r="A1320">
        <v>736787.61670000001</v>
      </c>
      <c r="B1320">
        <v>-149.596755</v>
      </c>
      <c r="C1320">
        <v>-17.018691</v>
      </c>
      <c r="D1320">
        <v>162.582400025749</v>
      </c>
      <c r="E1320">
        <v>30.4</v>
      </c>
      <c r="F1320">
        <v>9.94824000257492</v>
      </c>
    </row>
    <row r="1321" spans="1:6" x14ac:dyDescent="0.2">
      <c r="A1321">
        <v>736787.61670000001</v>
      </c>
      <c r="B1321">
        <v>-149.59674200000001</v>
      </c>
      <c r="C1321">
        <v>-17.018695000000001</v>
      </c>
      <c r="D1321">
        <v>162.582400025749</v>
      </c>
      <c r="E1321">
        <v>30.4</v>
      </c>
      <c r="F1321">
        <v>9.94824000257492</v>
      </c>
    </row>
    <row r="1322" spans="1:6" x14ac:dyDescent="0.2">
      <c r="A1322">
        <v>736787.61670000001</v>
      </c>
      <c r="B1322">
        <v>-149.59671900000001</v>
      </c>
      <c r="C1322">
        <v>-17.018705000000001</v>
      </c>
      <c r="D1322">
        <v>162.582400025749</v>
      </c>
      <c r="E1322">
        <v>30.4</v>
      </c>
      <c r="F1322">
        <v>9.94824000257492</v>
      </c>
    </row>
    <row r="1323" spans="1:6" x14ac:dyDescent="0.2">
      <c r="A1323">
        <v>736787.61670000001</v>
      </c>
      <c r="B1323">
        <v>-149.59670600000001</v>
      </c>
      <c r="C1323">
        <v>-17.018712000000001</v>
      </c>
      <c r="D1323">
        <v>162.582400025749</v>
      </c>
      <c r="E1323">
        <v>30.4</v>
      </c>
      <c r="F1323">
        <v>9.94824000257492</v>
      </c>
    </row>
    <row r="1324" spans="1:6" x14ac:dyDescent="0.2">
      <c r="A1324">
        <v>736787.61670000001</v>
      </c>
      <c r="B1324">
        <v>-149.59669600000001</v>
      </c>
      <c r="C1324">
        <v>-17.018719999999998</v>
      </c>
      <c r="D1324">
        <v>162.582400025749</v>
      </c>
      <c r="E1324">
        <v>30.4</v>
      </c>
      <c r="F1324">
        <v>9.94824000257492</v>
      </c>
    </row>
    <row r="1325" spans="1:6" x14ac:dyDescent="0.2">
      <c r="A1325">
        <v>736787.61679999996</v>
      </c>
      <c r="B1325">
        <v>-149.596688</v>
      </c>
      <c r="C1325">
        <v>-17.018729</v>
      </c>
      <c r="D1325">
        <v>163.042399748945</v>
      </c>
      <c r="E1325">
        <v>30.4</v>
      </c>
      <c r="F1325">
        <v>9.9761599832629901</v>
      </c>
    </row>
    <row r="1326" spans="1:6" x14ac:dyDescent="0.2">
      <c r="A1326">
        <v>736787.61679999996</v>
      </c>
      <c r="B1326">
        <v>-149.59668199999999</v>
      </c>
      <c r="C1326">
        <v>-17.018737000000002</v>
      </c>
      <c r="D1326">
        <v>163.042399748945</v>
      </c>
      <c r="E1326">
        <v>30.4</v>
      </c>
      <c r="F1326">
        <v>9.9761599832629901</v>
      </c>
    </row>
    <row r="1327" spans="1:6" x14ac:dyDescent="0.2">
      <c r="A1327">
        <v>736787.61679999996</v>
      </c>
      <c r="B1327">
        <v>-149.596676</v>
      </c>
      <c r="C1327">
        <v>-17.018749</v>
      </c>
      <c r="D1327">
        <v>163.042399748945</v>
      </c>
      <c r="E1327">
        <v>30.4</v>
      </c>
      <c r="F1327">
        <v>9.9761599832629901</v>
      </c>
    </row>
    <row r="1328" spans="1:6" x14ac:dyDescent="0.2">
      <c r="A1328">
        <v>736787.61679999996</v>
      </c>
      <c r="B1328">
        <v>-149.59667099999999</v>
      </c>
      <c r="C1328">
        <v>-17.01876</v>
      </c>
      <c r="D1328">
        <v>163.042399748945</v>
      </c>
      <c r="E1328">
        <v>30.4</v>
      </c>
      <c r="F1328">
        <v>9.9761599832629901</v>
      </c>
    </row>
    <row r="1329" spans="1:6" x14ac:dyDescent="0.2">
      <c r="A1329">
        <v>736787.61679999996</v>
      </c>
      <c r="B1329">
        <v>-149.59665799999999</v>
      </c>
      <c r="C1329">
        <v>-17.018772999999999</v>
      </c>
      <c r="D1329">
        <v>163.042399748945</v>
      </c>
      <c r="E1329">
        <v>30.4</v>
      </c>
      <c r="F1329">
        <v>9.9761599832629901</v>
      </c>
    </row>
    <row r="1330" spans="1:6" x14ac:dyDescent="0.2">
      <c r="A1330">
        <v>736787.61679999996</v>
      </c>
      <c r="B1330">
        <v>-149.59665100000001</v>
      </c>
      <c r="C1330">
        <v>-17.018781000000001</v>
      </c>
      <c r="D1330">
        <v>163.042399748945</v>
      </c>
      <c r="E1330">
        <v>30.4</v>
      </c>
      <c r="F1330">
        <v>9.9761599832629901</v>
      </c>
    </row>
    <row r="1331" spans="1:6" x14ac:dyDescent="0.2">
      <c r="A1331">
        <v>736787.61679999996</v>
      </c>
      <c r="B1331">
        <v>-149.59664100000001</v>
      </c>
      <c r="C1331">
        <v>-17.018792000000001</v>
      </c>
      <c r="D1331">
        <v>163.042399748945</v>
      </c>
      <c r="E1331">
        <v>30.4</v>
      </c>
      <c r="F1331">
        <v>9.9761599832629901</v>
      </c>
    </row>
    <row r="1332" spans="1:6" x14ac:dyDescent="0.2">
      <c r="A1332">
        <v>736787.61690000002</v>
      </c>
      <c r="B1332">
        <v>-149.59662900000001</v>
      </c>
      <c r="C1332">
        <v>-17.018802999999998</v>
      </c>
      <c r="D1332">
        <v>162.4</v>
      </c>
      <c r="E1332">
        <v>30.4</v>
      </c>
      <c r="F1332">
        <v>9.93</v>
      </c>
    </row>
    <row r="1333" spans="1:6" x14ac:dyDescent="0.2">
      <c r="A1333">
        <v>736787.61690000002</v>
      </c>
      <c r="B1333">
        <v>-149.596619</v>
      </c>
      <c r="C1333">
        <v>-17.018813000000002</v>
      </c>
      <c r="D1333">
        <v>162.4</v>
      </c>
      <c r="E1333">
        <v>30.4</v>
      </c>
      <c r="F1333">
        <v>9.93</v>
      </c>
    </row>
    <row r="1334" spans="1:6" x14ac:dyDescent="0.2">
      <c r="A1334">
        <v>736787.61690000002</v>
      </c>
      <c r="B1334">
        <v>-149.59661299999999</v>
      </c>
      <c r="C1334">
        <v>-17.018820999999999</v>
      </c>
      <c r="D1334">
        <v>162.4</v>
      </c>
      <c r="E1334">
        <v>30.4</v>
      </c>
      <c r="F1334">
        <v>9.93</v>
      </c>
    </row>
    <row r="1335" spans="1:6" x14ac:dyDescent="0.2">
      <c r="A1335">
        <v>736787.61690000002</v>
      </c>
      <c r="B1335">
        <v>-149.596608</v>
      </c>
      <c r="C1335">
        <v>-17.018829</v>
      </c>
      <c r="D1335">
        <v>162.4</v>
      </c>
      <c r="E1335">
        <v>30.4</v>
      </c>
      <c r="F1335">
        <v>9.93</v>
      </c>
    </row>
    <row r="1336" spans="1:6" x14ac:dyDescent="0.2">
      <c r="A1336">
        <v>736787.61690000002</v>
      </c>
      <c r="B1336">
        <v>-149.59660299999999</v>
      </c>
      <c r="C1336">
        <v>-17.018837999999999</v>
      </c>
      <c r="D1336">
        <v>162.4</v>
      </c>
      <c r="E1336">
        <v>30.4</v>
      </c>
      <c r="F1336">
        <v>9.93</v>
      </c>
    </row>
    <row r="1337" spans="1:6" x14ac:dyDescent="0.2">
      <c r="A1337">
        <v>736787.61690000002</v>
      </c>
      <c r="B1337">
        <v>-149.5966</v>
      </c>
      <c r="C1337">
        <v>-17.018847000000001</v>
      </c>
      <c r="D1337">
        <v>162.4</v>
      </c>
      <c r="E1337">
        <v>30.4</v>
      </c>
      <c r="F1337">
        <v>9.93</v>
      </c>
    </row>
    <row r="1338" spans="1:6" x14ac:dyDescent="0.2">
      <c r="A1338">
        <v>736787.61690000002</v>
      </c>
      <c r="B1338">
        <v>-149.596597</v>
      </c>
      <c r="C1338">
        <v>-17.018856</v>
      </c>
      <c r="D1338">
        <v>162.4</v>
      </c>
      <c r="E1338">
        <v>30.4</v>
      </c>
      <c r="F1338">
        <v>9.93</v>
      </c>
    </row>
    <row r="1339" spans="1:6" x14ac:dyDescent="0.2">
      <c r="A1339">
        <v>736787.61690000002</v>
      </c>
      <c r="B1339">
        <v>-149.59659300000001</v>
      </c>
      <c r="C1339">
        <v>-17.018865999999999</v>
      </c>
      <c r="D1339">
        <v>162.4</v>
      </c>
      <c r="E1339">
        <v>30.4</v>
      </c>
      <c r="F1339">
        <v>9.93</v>
      </c>
    </row>
    <row r="1340" spans="1:6" x14ac:dyDescent="0.2">
      <c r="A1340">
        <v>736787.61699999997</v>
      </c>
      <c r="B1340">
        <v>-149.596585</v>
      </c>
      <c r="C1340">
        <v>-17.018875000000001</v>
      </c>
      <c r="D1340">
        <v>162.05600006437299</v>
      </c>
      <c r="E1340">
        <v>30.4</v>
      </c>
      <c r="F1340">
        <v>9.9128000032186492</v>
      </c>
    </row>
    <row r="1341" spans="1:6" x14ac:dyDescent="0.2">
      <c r="A1341">
        <v>736787.61699999997</v>
      </c>
      <c r="B1341">
        <v>-149.59657100000001</v>
      </c>
      <c r="C1341">
        <v>-17.018885999999998</v>
      </c>
      <c r="D1341">
        <v>162.05600006437299</v>
      </c>
      <c r="E1341">
        <v>30.4</v>
      </c>
      <c r="F1341">
        <v>9.9128000032186492</v>
      </c>
    </row>
    <row r="1342" spans="1:6" x14ac:dyDescent="0.2">
      <c r="A1342">
        <v>736787.61699999997</v>
      </c>
      <c r="B1342">
        <v>-149.59655699999999</v>
      </c>
      <c r="C1342">
        <v>-17.018895000000001</v>
      </c>
      <c r="D1342">
        <v>162.05600006437299</v>
      </c>
      <c r="E1342">
        <v>30.4</v>
      </c>
      <c r="F1342">
        <v>9.9128000032186492</v>
      </c>
    </row>
    <row r="1343" spans="1:6" x14ac:dyDescent="0.2">
      <c r="A1343">
        <v>736787.61699999997</v>
      </c>
      <c r="B1343">
        <v>-149.59654599999999</v>
      </c>
      <c r="C1343">
        <v>-17.018898</v>
      </c>
      <c r="D1343">
        <v>162.05600006437299</v>
      </c>
      <c r="E1343">
        <v>30.4</v>
      </c>
      <c r="F1343">
        <v>9.9128000032186492</v>
      </c>
    </row>
    <row r="1344" spans="1:6" x14ac:dyDescent="0.2">
      <c r="A1344">
        <v>736787.61699999997</v>
      </c>
      <c r="B1344">
        <v>-149.59653499999999</v>
      </c>
      <c r="C1344">
        <v>-17.018899999999999</v>
      </c>
      <c r="D1344">
        <v>162.05600006437299</v>
      </c>
      <c r="E1344">
        <v>30.4</v>
      </c>
      <c r="F1344">
        <v>9.9128000032186492</v>
      </c>
    </row>
    <row r="1345" spans="1:6" x14ac:dyDescent="0.2">
      <c r="A1345">
        <v>736787.61699999997</v>
      </c>
      <c r="B1345">
        <v>-149.596521</v>
      </c>
      <c r="C1345">
        <v>-17.018906000000001</v>
      </c>
      <c r="D1345">
        <v>162.05600006437299</v>
      </c>
      <c r="E1345">
        <v>30.4</v>
      </c>
      <c r="F1345">
        <v>9.9128000032186492</v>
      </c>
    </row>
    <row r="1346" spans="1:6" x14ac:dyDescent="0.2">
      <c r="A1346">
        <v>736787.61699999997</v>
      </c>
      <c r="B1346">
        <v>-149.596508</v>
      </c>
      <c r="C1346">
        <v>-17.018913999999999</v>
      </c>
      <c r="D1346">
        <v>162.05600006437299</v>
      </c>
      <c r="E1346">
        <v>30.4</v>
      </c>
      <c r="F1346">
        <v>9.9128000032186492</v>
      </c>
    </row>
    <row r="1347" spans="1:6" x14ac:dyDescent="0.2">
      <c r="A1347">
        <v>736787.61710000003</v>
      </c>
      <c r="B1347">
        <v>-149.59649099999999</v>
      </c>
      <c r="C1347">
        <v>-17.018917999999999</v>
      </c>
      <c r="D1347">
        <v>162.25200019311899</v>
      </c>
      <c r="E1347">
        <v>30.6</v>
      </c>
      <c r="F1347">
        <v>9.8911200115871605</v>
      </c>
    </row>
    <row r="1348" spans="1:6" x14ac:dyDescent="0.2">
      <c r="A1348">
        <v>736787.61710000003</v>
      </c>
      <c r="B1348">
        <v>-149.596476</v>
      </c>
      <c r="C1348">
        <v>-17.018927999999999</v>
      </c>
      <c r="D1348">
        <v>162.25200019311899</v>
      </c>
      <c r="E1348">
        <v>30.6</v>
      </c>
      <c r="F1348">
        <v>9.8911200115871605</v>
      </c>
    </row>
    <row r="1349" spans="1:6" x14ac:dyDescent="0.2">
      <c r="A1349">
        <v>736787.61710000003</v>
      </c>
      <c r="B1349">
        <v>-149.59646100000001</v>
      </c>
      <c r="C1349">
        <v>-17.018937000000001</v>
      </c>
      <c r="D1349">
        <v>162.25200019311899</v>
      </c>
      <c r="E1349">
        <v>30.6</v>
      </c>
      <c r="F1349">
        <v>9.8911200115871605</v>
      </c>
    </row>
    <row r="1350" spans="1:6" x14ac:dyDescent="0.2">
      <c r="A1350">
        <v>736787.61710000003</v>
      </c>
      <c r="B1350">
        <v>-149.59645</v>
      </c>
      <c r="C1350">
        <v>-17.018941000000002</v>
      </c>
      <c r="D1350">
        <v>162.25200019311899</v>
      </c>
      <c r="E1350">
        <v>30.6</v>
      </c>
      <c r="F1350">
        <v>9.8911200115871605</v>
      </c>
    </row>
    <row r="1351" spans="1:6" x14ac:dyDescent="0.2">
      <c r="A1351">
        <v>736787.61710000003</v>
      </c>
      <c r="B1351">
        <v>-149.596441</v>
      </c>
      <c r="C1351">
        <v>-17.018946</v>
      </c>
      <c r="D1351">
        <v>162.25200019311899</v>
      </c>
      <c r="E1351">
        <v>30.6</v>
      </c>
      <c r="F1351">
        <v>9.8911200115871605</v>
      </c>
    </row>
    <row r="1352" spans="1:6" x14ac:dyDescent="0.2">
      <c r="A1352">
        <v>736787.61710000003</v>
      </c>
      <c r="B1352">
        <v>-149.596431</v>
      </c>
      <c r="C1352">
        <v>-17.018954999999998</v>
      </c>
      <c r="D1352">
        <v>162.25200019311899</v>
      </c>
      <c r="E1352">
        <v>30.6</v>
      </c>
      <c r="F1352">
        <v>9.8911200115871605</v>
      </c>
    </row>
    <row r="1353" spans="1:6" x14ac:dyDescent="0.2">
      <c r="A1353">
        <v>736787.61710000003</v>
      </c>
      <c r="B1353">
        <v>-149.59642299999999</v>
      </c>
      <c r="C1353">
        <v>-17.018964</v>
      </c>
      <c r="D1353">
        <v>162.25200019311899</v>
      </c>
      <c r="E1353">
        <v>30.6</v>
      </c>
      <c r="F1353">
        <v>9.8911200115871605</v>
      </c>
    </row>
    <row r="1354" spans="1:6" x14ac:dyDescent="0.2">
      <c r="A1354">
        <v>736787.61710000003</v>
      </c>
      <c r="B1354">
        <v>-149.59641500000001</v>
      </c>
      <c r="C1354">
        <v>-17.018972999999999</v>
      </c>
      <c r="D1354">
        <v>162.25200019311899</v>
      </c>
      <c r="E1354">
        <v>30.6</v>
      </c>
      <c r="F1354">
        <v>9.8911200115871605</v>
      </c>
    </row>
    <row r="1355" spans="1:6" x14ac:dyDescent="0.2">
      <c r="A1355">
        <v>736787.61719999998</v>
      </c>
      <c r="B1355">
        <v>-149.596406</v>
      </c>
      <c r="C1355">
        <v>-17.018984</v>
      </c>
      <c r="D1355">
        <v>170.87759941098699</v>
      </c>
      <c r="E1355">
        <v>30.7631999806881</v>
      </c>
      <c r="F1355">
        <v>10.387439967169801</v>
      </c>
    </row>
    <row r="1356" spans="1:6" x14ac:dyDescent="0.2">
      <c r="A1356">
        <v>736787.61719999998</v>
      </c>
      <c r="B1356">
        <v>-149.596396</v>
      </c>
      <c r="C1356">
        <v>-17.018992000000001</v>
      </c>
      <c r="D1356">
        <v>170.87759941098699</v>
      </c>
      <c r="E1356">
        <v>30.7631999806881</v>
      </c>
      <c r="F1356">
        <v>10.387439967169801</v>
      </c>
    </row>
    <row r="1357" spans="1:6" x14ac:dyDescent="0.2">
      <c r="A1357">
        <v>736787.61719999998</v>
      </c>
      <c r="B1357">
        <v>-149.596384</v>
      </c>
      <c r="C1357">
        <v>-17.018999999999998</v>
      </c>
      <c r="D1357">
        <v>170.87759941098699</v>
      </c>
      <c r="E1357">
        <v>30.7631999806881</v>
      </c>
      <c r="F1357">
        <v>10.387439967169801</v>
      </c>
    </row>
    <row r="1358" spans="1:6" x14ac:dyDescent="0.2">
      <c r="A1358">
        <v>736787.61719999998</v>
      </c>
      <c r="B1358">
        <v>-149.59637499999999</v>
      </c>
      <c r="C1358">
        <v>-17.019007999999999</v>
      </c>
      <c r="D1358">
        <v>170.87759941098699</v>
      </c>
      <c r="E1358">
        <v>30.7631999806881</v>
      </c>
      <c r="F1358">
        <v>10.387439967169801</v>
      </c>
    </row>
    <row r="1359" spans="1:6" x14ac:dyDescent="0.2">
      <c r="A1359">
        <v>736787.61719999998</v>
      </c>
      <c r="B1359">
        <v>-149.59634800000001</v>
      </c>
      <c r="C1359">
        <v>-17.019024999999999</v>
      </c>
      <c r="D1359">
        <v>170.87759941098699</v>
      </c>
      <c r="E1359">
        <v>30.7631999806881</v>
      </c>
      <c r="F1359">
        <v>10.387439967169801</v>
      </c>
    </row>
    <row r="1360" spans="1:6" x14ac:dyDescent="0.2">
      <c r="A1360">
        <v>736787.61719999998</v>
      </c>
      <c r="B1360">
        <v>-149.59633500000001</v>
      </c>
      <c r="C1360">
        <v>-17.019027999999999</v>
      </c>
      <c r="D1360">
        <v>170.87759941098699</v>
      </c>
      <c r="E1360">
        <v>30.7631999806881</v>
      </c>
      <c r="F1360">
        <v>10.387439967169801</v>
      </c>
    </row>
    <row r="1361" spans="1:6" x14ac:dyDescent="0.2">
      <c r="A1361">
        <v>736787.61719999998</v>
      </c>
      <c r="B1361">
        <v>-149.59632199999999</v>
      </c>
      <c r="C1361">
        <v>-17.019034999999999</v>
      </c>
      <c r="D1361">
        <v>170.87759941098699</v>
      </c>
      <c r="E1361">
        <v>30.7631999806881</v>
      </c>
      <c r="F1361">
        <v>10.387439967169801</v>
      </c>
    </row>
    <row r="1362" spans="1:6" x14ac:dyDescent="0.2">
      <c r="A1362">
        <v>736787.61730000004</v>
      </c>
      <c r="B1362">
        <v>-149.59631099999999</v>
      </c>
      <c r="C1362">
        <v>-17.019044000000001</v>
      </c>
      <c r="D1362">
        <v>175.47280638581199</v>
      </c>
      <c r="E1362">
        <v>31</v>
      </c>
      <c r="F1362">
        <v>10.626720391388501</v>
      </c>
    </row>
    <row r="1363" spans="1:6" x14ac:dyDescent="0.2">
      <c r="A1363">
        <v>736787.61730000004</v>
      </c>
      <c r="B1363">
        <v>-149.59630000000001</v>
      </c>
      <c r="C1363">
        <v>-17.019051999999999</v>
      </c>
      <c r="D1363">
        <v>175.47280638581199</v>
      </c>
      <c r="E1363">
        <v>31</v>
      </c>
      <c r="F1363">
        <v>10.626720391388501</v>
      </c>
    </row>
    <row r="1364" spans="1:6" x14ac:dyDescent="0.2">
      <c r="A1364">
        <v>736787.61730000004</v>
      </c>
      <c r="B1364">
        <v>-149.59628699999999</v>
      </c>
      <c r="C1364">
        <v>-17.019067</v>
      </c>
      <c r="D1364">
        <v>175.47280638581199</v>
      </c>
      <c r="E1364">
        <v>31</v>
      </c>
      <c r="F1364">
        <v>10.626720391388501</v>
      </c>
    </row>
    <row r="1365" spans="1:6" x14ac:dyDescent="0.2">
      <c r="A1365">
        <v>736787.61730000004</v>
      </c>
      <c r="B1365">
        <v>-149.59627399999999</v>
      </c>
      <c r="C1365">
        <v>-17.019079999999999</v>
      </c>
      <c r="D1365">
        <v>175.47280638581199</v>
      </c>
      <c r="E1365">
        <v>31</v>
      </c>
      <c r="F1365">
        <v>10.626720391388501</v>
      </c>
    </row>
    <row r="1366" spans="1:6" x14ac:dyDescent="0.2">
      <c r="A1366">
        <v>736787.61730000004</v>
      </c>
      <c r="B1366">
        <v>-149.59626399999999</v>
      </c>
      <c r="C1366">
        <v>-17.019085</v>
      </c>
      <c r="D1366">
        <v>175.47280638581199</v>
      </c>
      <c r="E1366">
        <v>31</v>
      </c>
      <c r="F1366">
        <v>10.626720391388501</v>
      </c>
    </row>
    <row r="1367" spans="1:6" x14ac:dyDescent="0.2">
      <c r="A1367">
        <v>736787.61730000004</v>
      </c>
      <c r="B1367">
        <v>-149.59625399999999</v>
      </c>
      <c r="C1367">
        <v>-17.019091</v>
      </c>
      <c r="D1367">
        <v>175.47280638581199</v>
      </c>
      <c r="E1367">
        <v>31</v>
      </c>
      <c r="F1367">
        <v>10.626720391388501</v>
      </c>
    </row>
    <row r="1368" spans="1:6" x14ac:dyDescent="0.2">
      <c r="A1368">
        <v>736787.61730000004</v>
      </c>
      <c r="B1368">
        <v>-149.59624199999999</v>
      </c>
      <c r="C1368">
        <v>-17.019100999999999</v>
      </c>
      <c r="D1368">
        <v>175.47280638581199</v>
      </c>
      <c r="E1368">
        <v>31</v>
      </c>
      <c r="F1368">
        <v>10.626720391388501</v>
      </c>
    </row>
    <row r="1369" spans="1:6" x14ac:dyDescent="0.2">
      <c r="A1369">
        <v>736787.61730000004</v>
      </c>
      <c r="B1369">
        <v>-149.59623099999999</v>
      </c>
      <c r="C1369">
        <v>-17.019110000000001</v>
      </c>
      <c r="D1369">
        <v>175.47280638581199</v>
      </c>
      <c r="E1369">
        <v>31</v>
      </c>
      <c r="F1369">
        <v>10.626720391388501</v>
      </c>
    </row>
    <row r="1370" spans="1:6" x14ac:dyDescent="0.2">
      <c r="A1370">
        <v>736787.61739999999</v>
      </c>
      <c r="B1370">
        <v>-149.59622300000001</v>
      </c>
      <c r="C1370">
        <v>-17.019116</v>
      </c>
      <c r="D1370">
        <v>182.127199996781</v>
      </c>
      <c r="E1370">
        <v>31.1815999903441</v>
      </c>
      <c r="F1370">
        <v>10.999120001287499</v>
      </c>
    </row>
    <row r="1371" spans="1:6" x14ac:dyDescent="0.2">
      <c r="A1371">
        <v>736787.61739999999</v>
      </c>
      <c r="B1371">
        <v>-149.59621300000001</v>
      </c>
      <c r="C1371">
        <v>-17.019124999999999</v>
      </c>
      <c r="D1371">
        <v>182.127199996781</v>
      </c>
      <c r="E1371">
        <v>31.1815999903441</v>
      </c>
      <c r="F1371">
        <v>10.999120001287499</v>
      </c>
    </row>
    <row r="1372" spans="1:6" x14ac:dyDescent="0.2">
      <c r="A1372">
        <v>736787.61739999999</v>
      </c>
      <c r="B1372">
        <v>-149.59619799999999</v>
      </c>
      <c r="C1372">
        <v>-17.019145999999999</v>
      </c>
      <c r="D1372">
        <v>182.127199996781</v>
      </c>
      <c r="E1372">
        <v>31.1815999903441</v>
      </c>
      <c r="F1372">
        <v>10.999120001287499</v>
      </c>
    </row>
    <row r="1373" spans="1:6" x14ac:dyDescent="0.2">
      <c r="A1373">
        <v>736787.61739999999</v>
      </c>
      <c r="B1373">
        <v>-149.59618699999999</v>
      </c>
      <c r="C1373">
        <v>-17.019152999999999</v>
      </c>
      <c r="D1373">
        <v>182.127199996781</v>
      </c>
      <c r="E1373">
        <v>31.1815999903441</v>
      </c>
      <c r="F1373">
        <v>10.999120001287499</v>
      </c>
    </row>
    <row r="1374" spans="1:6" x14ac:dyDescent="0.2">
      <c r="A1374">
        <v>736787.61739999999</v>
      </c>
      <c r="B1374">
        <v>-149.59617900000001</v>
      </c>
      <c r="C1374">
        <v>-17.019164</v>
      </c>
      <c r="D1374">
        <v>182.127199996781</v>
      </c>
      <c r="E1374">
        <v>31.1815999903441</v>
      </c>
      <c r="F1374">
        <v>10.999120001287499</v>
      </c>
    </row>
    <row r="1375" spans="1:6" x14ac:dyDescent="0.2">
      <c r="A1375">
        <v>736787.61739999999</v>
      </c>
      <c r="B1375">
        <v>-149.596172</v>
      </c>
      <c r="C1375">
        <v>-17.019175000000001</v>
      </c>
      <c r="D1375">
        <v>182.127199996781</v>
      </c>
      <c r="E1375">
        <v>31.1815999903441</v>
      </c>
      <c r="F1375">
        <v>10.999120001287499</v>
      </c>
    </row>
    <row r="1376" spans="1:6" x14ac:dyDescent="0.2">
      <c r="A1376">
        <v>736787.61739999999</v>
      </c>
      <c r="B1376">
        <v>-149.596161</v>
      </c>
      <c r="C1376">
        <v>-17.019185</v>
      </c>
      <c r="D1376">
        <v>182.127199996781</v>
      </c>
      <c r="E1376">
        <v>31.1815999903441</v>
      </c>
      <c r="F1376">
        <v>10.999120001287499</v>
      </c>
    </row>
    <row r="1377" spans="1:6" x14ac:dyDescent="0.2">
      <c r="A1377">
        <v>736787.61750000005</v>
      </c>
      <c r="B1377">
        <v>-149.59614400000001</v>
      </c>
      <c r="C1377">
        <v>-17.019206000000001</v>
      </c>
      <c r="D1377">
        <v>192.4</v>
      </c>
      <c r="E1377">
        <v>31.4</v>
      </c>
      <c r="F1377">
        <v>11.59</v>
      </c>
    </row>
    <row r="1378" spans="1:6" x14ac:dyDescent="0.2">
      <c r="A1378">
        <v>736787.61750000005</v>
      </c>
      <c r="B1378">
        <v>-149.596137</v>
      </c>
      <c r="C1378">
        <v>-17.019213000000001</v>
      </c>
      <c r="D1378">
        <v>192.4</v>
      </c>
      <c r="E1378">
        <v>31.4</v>
      </c>
      <c r="F1378">
        <v>11.59</v>
      </c>
    </row>
    <row r="1379" spans="1:6" x14ac:dyDescent="0.2">
      <c r="A1379">
        <v>736787.61750000005</v>
      </c>
      <c r="B1379">
        <v>-149.59612799999999</v>
      </c>
      <c r="C1379">
        <v>-17.019219</v>
      </c>
      <c r="D1379">
        <v>192.4</v>
      </c>
      <c r="E1379">
        <v>31.4</v>
      </c>
      <c r="F1379">
        <v>11.59</v>
      </c>
    </row>
    <row r="1380" spans="1:6" x14ac:dyDescent="0.2">
      <c r="A1380">
        <v>736787.61750000005</v>
      </c>
      <c r="B1380">
        <v>-149.59612100000001</v>
      </c>
      <c r="C1380">
        <v>-17.01923</v>
      </c>
      <c r="D1380">
        <v>192.4</v>
      </c>
      <c r="E1380">
        <v>31.4</v>
      </c>
      <c r="F1380">
        <v>11.59</v>
      </c>
    </row>
    <row r="1381" spans="1:6" x14ac:dyDescent="0.2">
      <c r="A1381">
        <v>736787.61750000005</v>
      </c>
      <c r="B1381">
        <v>-149.59611200000001</v>
      </c>
      <c r="C1381">
        <v>-17.019241000000001</v>
      </c>
      <c r="D1381">
        <v>192.4</v>
      </c>
      <c r="E1381">
        <v>31.4</v>
      </c>
      <c r="F1381">
        <v>11.59</v>
      </c>
    </row>
    <row r="1382" spans="1:6" x14ac:dyDescent="0.2">
      <c r="A1382">
        <v>736787.61750000005</v>
      </c>
      <c r="B1382">
        <v>-149.596102</v>
      </c>
      <c r="C1382">
        <v>-17.019247</v>
      </c>
      <c r="D1382">
        <v>192.4</v>
      </c>
      <c r="E1382">
        <v>31.4</v>
      </c>
      <c r="F1382">
        <v>11.59</v>
      </c>
    </row>
    <row r="1383" spans="1:6" x14ac:dyDescent="0.2">
      <c r="A1383">
        <v>736787.61750000005</v>
      </c>
      <c r="B1383">
        <v>-149.59609</v>
      </c>
      <c r="C1383">
        <v>-17.019254</v>
      </c>
      <c r="D1383">
        <v>192.4</v>
      </c>
      <c r="E1383">
        <v>31.4</v>
      </c>
      <c r="F1383">
        <v>11.59</v>
      </c>
    </row>
    <row r="1384" spans="1:6" x14ac:dyDescent="0.2">
      <c r="A1384">
        <v>736787.6176</v>
      </c>
      <c r="B1384">
        <v>-149.596079</v>
      </c>
      <c r="C1384">
        <v>-17.019259000000002</v>
      </c>
      <c r="D1384">
        <v>198.5</v>
      </c>
      <c r="E1384">
        <v>31.427199996781301</v>
      </c>
      <c r="F1384">
        <v>11.9472800003219</v>
      </c>
    </row>
    <row r="1385" spans="1:6" x14ac:dyDescent="0.2">
      <c r="A1385">
        <v>736787.6176</v>
      </c>
      <c r="B1385">
        <v>-149.59607099999999</v>
      </c>
      <c r="C1385">
        <v>-17.019265000000001</v>
      </c>
      <c r="D1385">
        <v>198.5</v>
      </c>
      <c r="E1385">
        <v>31.427199996781301</v>
      </c>
      <c r="F1385">
        <v>11.9472800003219</v>
      </c>
    </row>
    <row r="1386" spans="1:6" x14ac:dyDescent="0.2">
      <c r="A1386">
        <v>736787.6176</v>
      </c>
      <c r="B1386">
        <v>-149.59606500000001</v>
      </c>
      <c r="C1386">
        <v>-17.019272999999998</v>
      </c>
      <c r="D1386">
        <v>198.5</v>
      </c>
      <c r="E1386">
        <v>31.427199996781301</v>
      </c>
      <c r="F1386">
        <v>11.9472800003219</v>
      </c>
    </row>
    <row r="1387" spans="1:6" x14ac:dyDescent="0.2">
      <c r="A1387">
        <v>736787.6176</v>
      </c>
      <c r="B1387">
        <v>-149.596057</v>
      </c>
      <c r="C1387">
        <v>-17.019280999999999</v>
      </c>
      <c r="D1387">
        <v>198.5</v>
      </c>
      <c r="E1387">
        <v>31.427199996781301</v>
      </c>
      <c r="F1387">
        <v>11.9472800003219</v>
      </c>
    </row>
    <row r="1388" spans="1:6" x14ac:dyDescent="0.2">
      <c r="A1388">
        <v>736787.6176</v>
      </c>
      <c r="B1388">
        <v>-149.596048</v>
      </c>
      <c r="C1388">
        <v>-17.019293999999999</v>
      </c>
      <c r="D1388">
        <v>198.5</v>
      </c>
      <c r="E1388">
        <v>31.427199996781301</v>
      </c>
      <c r="F1388">
        <v>11.9472800003219</v>
      </c>
    </row>
    <row r="1389" spans="1:6" x14ac:dyDescent="0.2">
      <c r="A1389">
        <v>736787.6176</v>
      </c>
      <c r="B1389">
        <v>-149.59604100000001</v>
      </c>
      <c r="C1389">
        <v>-17.019303000000001</v>
      </c>
      <c r="D1389">
        <v>198.5</v>
      </c>
      <c r="E1389">
        <v>31.427199996781301</v>
      </c>
      <c r="F1389">
        <v>11.9472800003219</v>
      </c>
    </row>
    <row r="1390" spans="1:6" x14ac:dyDescent="0.2">
      <c r="A1390">
        <v>736787.61769999994</v>
      </c>
      <c r="B1390">
        <v>-149.59603999999999</v>
      </c>
      <c r="C1390">
        <v>-17.019313</v>
      </c>
      <c r="D1390">
        <v>196.54640576783001</v>
      </c>
      <c r="E1390">
        <v>31.308800205993901</v>
      </c>
      <c r="F1390">
        <v>11.8532003089909</v>
      </c>
    </row>
    <row r="1391" spans="1:6" x14ac:dyDescent="0.2">
      <c r="A1391">
        <v>736787.61769999994</v>
      </c>
      <c r="B1391">
        <v>-149.59603999999999</v>
      </c>
      <c r="C1391">
        <v>-17.019324999999998</v>
      </c>
      <c r="D1391">
        <v>196.54640576783001</v>
      </c>
      <c r="E1391">
        <v>31.308800205993901</v>
      </c>
      <c r="F1391">
        <v>11.8532003089909</v>
      </c>
    </row>
    <row r="1392" spans="1:6" x14ac:dyDescent="0.2">
      <c r="A1392">
        <v>736787.61769999994</v>
      </c>
      <c r="B1392">
        <v>-149.596046</v>
      </c>
      <c r="C1392">
        <v>-17.019335000000002</v>
      </c>
      <c r="D1392">
        <v>196.54640576783001</v>
      </c>
      <c r="E1392">
        <v>31.308800205993901</v>
      </c>
      <c r="F1392">
        <v>11.8532003089909</v>
      </c>
    </row>
    <row r="1393" spans="1:6" x14ac:dyDescent="0.2">
      <c r="A1393">
        <v>736787.61780000001</v>
      </c>
      <c r="B1393">
        <v>-149.59606199999999</v>
      </c>
      <c r="C1393">
        <v>-17.019337</v>
      </c>
      <c r="D1393">
        <v>192.46159950754699</v>
      </c>
      <c r="E1393">
        <v>31.1</v>
      </c>
      <c r="F1393">
        <v>11.642959970066601</v>
      </c>
    </row>
    <row r="1394" spans="1:6" x14ac:dyDescent="0.2">
      <c r="A1394">
        <v>736787.61780000001</v>
      </c>
      <c r="B1394">
        <v>-149.59607399999999</v>
      </c>
      <c r="C1394">
        <v>-17.019335999999999</v>
      </c>
      <c r="D1394">
        <v>192.46159950754699</v>
      </c>
      <c r="E1394">
        <v>31.1</v>
      </c>
      <c r="F1394">
        <v>11.642959970066601</v>
      </c>
    </row>
    <row r="1395" spans="1:6" x14ac:dyDescent="0.2">
      <c r="A1395">
        <v>736787.61780000001</v>
      </c>
      <c r="B1395">
        <v>-149.59608299999999</v>
      </c>
      <c r="C1395">
        <v>-17.019331000000001</v>
      </c>
      <c r="D1395">
        <v>192.46159950754699</v>
      </c>
      <c r="E1395">
        <v>31.1</v>
      </c>
      <c r="F1395">
        <v>11.642959970066601</v>
      </c>
    </row>
    <row r="1396" spans="1:6" x14ac:dyDescent="0.2">
      <c r="A1396">
        <v>736787.61789999995</v>
      </c>
      <c r="B1396">
        <v>-149.59610900000001</v>
      </c>
      <c r="C1396">
        <v>-17.019331000000001</v>
      </c>
      <c r="D1396">
        <v>183.10160027519501</v>
      </c>
      <c r="E1396">
        <v>30.917600009655999</v>
      </c>
      <c r="F1396">
        <v>11.098160015449499</v>
      </c>
    </row>
    <row r="1397" spans="1:6" x14ac:dyDescent="0.2">
      <c r="A1397">
        <v>736787.61789999995</v>
      </c>
      <c r="B1397">
        <v>-149.59612300000001</v>
      </c>
      <c r="C1397">
        <v>-17.019334000000001</v>
      </c>
      <c r="D1397">
        <v>183.10160027519501</v>
      </c>
      <c r="E1397">
        <v>30.917600009655999</v>
      </c>
      <c r="F1397">
        <v>11.098160015449499</v>
      </c>
    </row>
    <row r="1398" spans="1:6" x14ac:dyDescent="0.2">
      <c r="A1398">
        <v>736787.61789999995</v>
      </c>
      <c r="B1398">
        <v>-149.596135</v>
      </c>
      <c r="C1398">
        <v>-17.019331999999999</v>
      </c>
      <c r="D1398">
        <v>183.10160027519501</v>
      </c>
      <c r="E1398">
        <v>30.917600009655999</v>
      </c>
      <c r="F1398">
        <v>11.098160015449499</v>
      </c>
    </row>
    <row r="1399" spans="1:6" x14ac:dyDescent="0.2">
      <c r="A1399">
        <v>736787.61789999995</v>
      </c>
      <c r="B1399">
        <v>-149.596148</v>
      </c>
      <c r="C1399">
        <v>-17.019331999999999</v>
      </c>
      <c r="D1399">
        <v>183.10160027519501</v>
      </c>
      <c r="E1399">
        <v>30.917600009655999</v>
      </c>
      <c r="F1399">
        <v>11.098160015449499</v>
      </c>
    </row>
    <row r="1400" spans="1:6" x14ac:dyDescent="0.2">
      <c r="A1400">
        <v>736787.61789999995</v>
      </c>
      <c r="B1400">
        <v>-149.596169</v>
      </c>
      <c r="C1400">
        <v>-17.019337</v>
      </c>
      <c r="D1400">
        <v>183.10160027519501</v>
      </c>
      <c r="E1400">
        <v>30.917600009655999</v>
      </c>
      <c r="F1400">
        <v>11.098160015449499</v>
      </c>
    </row>
    <row r="1401" spans="1:6" x14ac:dyDescent="0.2">
      <c r="A1401">
        <v>736787.61789999995</v>
      </c>
      <c r="B1401">
        <v>-149.596181</v>
      </c>
      <c r="C1401">
        <v>-17.019333</v>
      </c>
      <c r="D1401">
        <v>183.10160027519501</v>
      </c>
      <c r="E1401">
        <v>30.917600009655999</v>
      </c>
      <c r="F1401">
        <v>11.098160015449499</v>
      </c>
    </row>
    <row r="1402" spans="1:6" x14ac:dyDescent="0.2">
      <c r="A1402">
        <v>736787.61800000002</v>
      </c>
      <c r="B1402">
        <v>-149.596194</v>
      </c>
      <c r="C1402">
        <v>-17.019331000000001</v>
      </c>
      <c r="D1402">
        <v>173.5</v>
      </c>
      <c r="E1402">
        <v>30.535999983906802</v>
      </c>
      <c r="F1402">
        <v>10.592800003218599</v>
      </c>
    </row>
    <row r="1403" spans="1:6" x14ac:dyDescent="0.2">
      <c r="A1403">
        <v>736787.61800000002</v>
      </c>
      <c r="B1403">
        <v>-149.596203</v>
      </c>
      <c r="C1403">
        <v>-17.019335000000002</v>
      </c>
      <c r="D1403">
        <v>173.5</v>
      </c>
      <c r="E1403">
        <v>30.535999983906802</v>
      </c>
      <c r="F1403">
        <v>10.592800003218599</v>
      </c>
    </row>
    <row r="1404" spans="1:6" x14ac:dyDescent="0.2">
      <c r="A1404">
        <v>736787.61800000002</v>
      </c>
      <c r="B1404">
        <v>-149.59622200000001</v>
      </c>
      <c r="C1404">
        <v>-17.019331000000001</v>
      </c>
      <c r="D1404">
        <v>173.5</v>
      </c>
      <c r="E1404">
        <v>30.535999983906802</v>
      </c>
      <c r="F1404">
        <v>10.592800003218599</v>
      </c>
    </row>
    <row r="1405" spans="1:6" x14ac:dyDescent="0.2">
      <c r="A1405">
        <v>736787.61800000002</v>
      </c>
      <c r="B1405">
        <v>-149.59623500000001</v>
      </c>
      <c r="C1405">
        <v>-17.019327000000001</v>
      </c>
      <c r="D1405">
        <v>173.5</v>
      </c>
      <c r="E1405">
        <v>30.535999983906802</v>
      </c>
      <c r="F1405">
        <v>10.592800003218599</v>
      </c>
    </row>
    <row r="1406" spans="1:6" x14ac:dyDescent="0.2">
      <c r="A1406">
        <v>736787.61800000002</v>
      </c>
      <c r="B1406">
        <v>-149.59624600000001</v>
      </c>
      <c r="C1406">
        <v>-17.019328000000002</v>
      </c>
      <c r="D1406">
        <v>173.5</v>
      </c>
      <c r="E1406">
        <v>30.535999983906802</v>
      </c>
      <c r="F1406">
        <v>10.592800003218599</v>
      </c>
    </row>
    <row r="1407" spans="1:6" x14ac:dyDescent="0.2">
      <c r="A1407">
        <v>736787.61800000002</v>
      </c>
      <c r="B1407">
        <v>-149.59626600000001</v>
      </c>
      <c r="C1407">
        <v>-17.019321999999999</v>
      </c>
      <c r="D1407">
        <v>173.5</v>
      </c>
      <c r="E1407">
        <v>30.535999983906802</v>
      </c>
      <c r="F1407">
        <v>10.592800003218599</v>
      </c>
    </row>
    <row r="1408" spans="1:6" x14ac:dyDescent="0.2">
      <c r="A1408">
        <v>736787.61800000002</v>
      </c>
      <c r="B1408">
        <v>-149.59627900000001</v>
      </c>
      <c r="C1408">
        <v>-17.019317999999998</v>
      </c>
      <c r="D1408">
        <v>173.5</v>
      </c>
      <c r="E1408">
        <v>30.535999983906802</v>
      </c>
      <c r="F1408">
        <v>10.592800003218599</v>
      </c>
    </row>
    <row r="1409" spans="1:6" x14ac:dyDescent="0.2">
      <c r="A1409">
        <v>736787.61809999996</v>
      </c>
      <c r="B1409">
        <v>-149.59629000000001</v>
      </c>
      <c r="C1409">
        <v>-17.019317999999998</v>
      </c>
      <c r="D1409">
        <v>167.08000269562399</v>
      </c>
      <c r="E1409">
        <v>30.4632001078249</v>
      </c>
      <c r="F1409">
        <v>10.2084801509549</v>
      </c>
    </row>
    <row r="1410" spans="1:6" x14ac:dyDescent="0.2">
      <c r="A1410">
        <v>736787.61809999996</v>
      </c>
      <c r="B1410">
        <v>-149.59630100000001</v>
      </c>
      <c r="C1410">
        <v>-17.019316</v>
      </c>
      <c r="D1410">
        <v>167.08000269562399</v>
      </c>
      <c r="E1410">
        <v>30.4632001078249</v>
      </c>
      <c r="F1410">
        <v>10.2084801509549</v>
      </c>
    </row>
    <row r="1411" spans="1:6" x14ac:dyDescent="0.2">
      <c r="A1411">
        <v>736787.61809999996</v>
      </c>
      <c r="B1411">
        <v>-149.59631099999999</v>
      </c>
      <c r="C1411">
        <v>-17.019311999999999</v>
      </c>
      <c r="D1411">
        <v>167.08000269562399</v>
      </c>
      <c r="E1411">
        <v>30.4632001078249</v>
      </c>
      <c r="F1411">
        <v>10.2084801509549</v>
      </c>
    </row>
    <row r="1412" spans="1:6" x14ac:dyDescent="0.2">
      <c r="A1412">
        <v>736787.61809999996</v>
      </c>
      <c r="B1412">
        <v>-149.59632099999999</v>
      </c>
      <c r="C1412">
        <v>-17.019309</v>
      </c>
      <c r="D1412">
        <v>167.08000269562399</v>
      </c>
      <c r="E1412">
        <v>30.4632001078249</v>
      </c>
      <c r="F1412">
        <v>10.2084801509549</v>
      </c>
    </row>
    <row r="1413" spans="1:6" x14ac:dyDescent="0.2">
      <c r="A1413">
        <v>736787.61809999996</v>
      </c>
      <c r="B1413">
        <v>-149.59633199999999</v>
      </c>
      <c r="C1413">
        <v>-17.019310000000001</v>
      </c>
      <c r="D1413">
        <v>167.08000269562399</v>
      </c>
      <c r="E1413">
        <v>30.4632001078249</v>
      </c>
      <c r="F1413">
        <v>10.2084801509549</v>
      </c>
    </row>
    <row r="1414" spans="1:6" x14ac:dyDescent="0.2">
      <c r="A1414">
        <v>736787.61809999996</v>
      </c>
      <c r="B1414">
        <v>-149.59634399999999</v>
      </c>
      <c r="C1414">
        <v>-17.019309</v>
      </c>
      <c r="D1414">
        <v>167.08000269562399</v>
      </c>
      <c r="E1414">
        <v>30.4632001078249</v>
      </c>
      <c r="F1414">
        <v>10.2084801509549</v>
      </c>
    </row>
    <row r="1415" spans="1:6" x14ac:dyDescent="0.2">
      <c r="A1415">
        <v>736787.61809999996</v>
      </c>
      <c r="B1415">
        <v>-149.59635800000001</v>
      </c>
      <c r="C1415">
        <v>-17.019304999999999</v>
      </c>
      <c r="D1415">
        <v>167.08000269562399</v>
      </c>
      <c r="E1415">
        <v>30.4632001078249</v>
      </c>
      <c r="F1415">
        <v>10.2084801509549</v>
      </c>
    </row>
    <row r="1416" spans="1:6" x14ac:dyDescent="0.2">
      <c r="A1416">
        <v>736787.61809999996</v>
      </c>
      <c r="B1416">
        <v>-149.596372</v>
      </c>
      <c r="C1416">
        <v>-17.019300999999999</v>
      </c>
      <c r="D1416">
        <v>167.08000269562399</v>
      </c>
      <c r="E1416">
        <v>30.4632001078249</v>
      </c>
      <c r="F1416">
        <v>10.2084801509549</v>
      </c>
    </row>
    <row r="1417" spans="1:6" x14ac:dyDescent="0.2">
      <c r="A1417">
        <v>736787.61820000003</v>
      </c>
      <c r="B1417">
        <v>-149.59638699999999</v>
      </c>
      <c r="C1417">
        <v>-17.019297000000002</v>
      </c>
      <c r="D1417">
        <v>165.255999662042</v>
      </c>
      <c r="E1417">
        <v>30.4</v>
      </c>
      <c r="F1417">
        <v>10.101359979722501</v>
      </c>
    </row>
    <row r="1418" spans="1:6" x14ac:dyDescent="0.2">
      <c r="A1418">
        <v>736787.61820000003</v>
      </c>
      <c r="B1418">
        <v>-149.596396</v>
      </c>
      <c r="C1418">
        <v>-17.019290999999999</v>
      </c>
      <c r="D1418">
        <v>165.255999662042</v>
      </c>
      <c r="E1418">
        <v>30.4</v>
      </c>
      <c r="F1418">
        <v>10.101359979722501</v>
      </c>
    </row>
    <row r="1419" spans="1:6" x14ac:dyDescent="0.2">
      <c r="A1419">
        <v>736787.61820000003</v>
      </c>
      <c r="B1419">
        <v>-149.596416</v>
      </c>
      <c r="C1419">
        <v>-17.019286999999998</v>
      </c>
      <c r="D1419">
        <v>165.255999662042</v>
      </c>
      <c r="E1419">
        <v>30.4</v>
      </c>
      <c r="F1419">
        <v>10.101359979722501</v>
      </c>
    </row>
    <row r="1420" spans="1:6" x14ac:dyDescent="0.2">
      <c r="A1420">
        <v>736787.61820000003</v>
      </c>
      <c r="B1420">
        <v>-149.59642700000001</v>
      </c>
      <c r="C1420">
        <v>-17.019276000000001</v>
      </c>
      <c r="D1420">
        <v>165.255999662042</v>
      </c>
      <c r="E1420">
        <v>30.4</v>
      </c>
      <c r="F1420">
        <v>10.101359979722501</v>
      </c>
    </row>
    <row r="1421" spans="1:6" x14ac:dyDescent="0.2">
      <c r="A1421">
        <v>736787.61820000003</v>
      </c>
      <c r="B1421">
        <v>-149.59643600000001</v>
      </c>
      <c r="C1421">
        <v>-17.019271</v>
      </c>
      <c r="D1421">
        <v>165.255999662042</v>
      </c>
      <c r="E1421">
        <v>30.4</v>
      </c>
      <c r="F1421">
        <v>10.101359979722501</v>
      </c>
    </row>
    <row r="1422" spans="1:6" x14ac:dyDescent="0.2">
      <c r="A1422">
        <v>736787.61820000003</v>
      </c>
      <c r="B1422">
        <v>-149.596451</v>
      </c>
      <c r="C1422">
        <v>-17.019271</v>
      </c>
      <c r="D1422">
        <v>165.255999662042</v>
      </c>
      <c r="E1422">
        <v>30.4</v>
      </c>
      <c r="F1422">
        <v>10.101359979722501</v>
      </c>
    </row>
    <row r="1423" spans="1:6" x14ac:dyDescent="0.2">
      <c r="A1423">
        <v>736787.61829999997</v>
      </c>
      <c r="B1423">
        <v>-149.596462</v>
      </c>
      <c r="C1423">
        <v>-17.019268</v>
      </c>
      <c r="D1423">
        <v>163.07600009655999</v>
      </c>
      <c r="E1423">
        <v>30.4</v>
      </c>
      <c r="F1423">
        <v>9.9788000048279795</v>
      </c>
    </row>
    <row r="1424" spans="1:6" x14ac:dyDescent="0.2">
      <c r="A1424">
        <v>736787.61829999997</v>
      </c>
      <c r="B1424">
        <v>-149.596474</v>
      </c>
      <c r="C1424">
        <v>-17.019268</v>
      </c>
      <c r="D1424">
        <v>163.07600009655999</v>
      </c>
      <c r="E1424">
        <v>30.4</v>
      </c>
      <c r="F1424">
        <v>9.9788000048279795</v>
      </c>
    </row>
    <row r="1425" spans="1:6" x14ac:dyDescent="0.2">
      <c r="A1425">
        <v>736787.61829999997</v>
      </c>
      <c r="B1425">
        <v>-149.59648999999999</v>
      </c>
      <c r="C1425">
        <v>-17.019268</v>
      </c>
      <c r="D1425">
        <v>163.07600009655999</v>
      </c>
      <c r="E1425">
        <v>30.4</v>
      </c>
      <c r="F1425">
        <v>9.9788000048279795</v>
      </c>
    </row>
    <row r="1426" spans="1:6" x14ac:dyDescent="0.2">
      <c r="A1426">
        <v>736787.61829999997</v>
      </c>
      <c r="B1426">
        <v>-149.59650199999999</v>
      </c>
      <c r="C1426">
        <v>-17.019262999999999</v>
      </c>
      <c r="D1426">
        <v>163.07600009655999</v>
      </c>
      <c r="E1426">
        <v>30.4</v>
      </c>
      <c r="F1426">
        <v>9.9788000048279795</v>
      </c>
    </row>
    <row r="1427" spans="1:6" x14ac:dyDescent="0.2">
      <c r="A1427">
        <v>736787.61829999997</v>
      </c>
      <c r="B1427">
        <v>-149.59651400000001</v>
      </c>
      <c r="C1427">
        <v>-17.019262999999999</v>
      </c>
      <c r="D1427">
        <v>163.07600009655999</v>
      </c>
      <c r="E1427">
        <v>30.4</v>
      </c>
      <c r="F1427">
        <v>9.9788000048279795</v>
      </c>
    </row>
    <row r="1428" spans="1:6" x14ac:dyDescent="0.2">
      <c r="A1428">
        <v>736787.61829999997</v>
      </c>
      <c r="B1428">
        <v>-149.59652399999999</v>
      </c>
      <c r="C1428">
        <v>-17.019264</v>
      </c>
      <c r="D1428">
        <v>163.07600009655999</v>
      </c>
      <c r="E1428">
        <v>30.4</v>
      </c>
      <c r="F1428">
        <v>9.9788000048279795</v>
      </c>
    </row>
    <row r="1429" spans="1:6" x14ac:dyDescent="0.2">
      <c r="A1429">
        <v>736787.61829999997</v>
      </c>
      <c r="B1429">
        <v>-149.596543</v>
      </c>
      <c r="C1429">
        <v>-17.019259999999999</v>
      </c>
      <c r="D1429">
        <v>163.07600009655999</v>
      </c>
      <c r="E1429">
        <v>30.4</v>
      </c>
      <c r="F1429">
        <v>9.9788000048279795</v>
      </c>
    </row>
    <row r="1430" spans="1:6" x14ac:dyDescent="0.2">
      <c r="A1430">
        <v>736787.61840000004</v>
      </c>
      <c r="B1430">
        <v>-149.596553</v>
      </c>
      <c r="C1430">
        <v>-17.019257</v>
      </c>
      <c r="D1430">
        <v>162.56879982619299</v>
      </c>
      <c r="E1430">
        <v>30.3</v>
      </c>
      <c r="F1430">
        <v>9.9534399913096507</v>
      </c>
    </row>
    <row r="1431" spans="1:6" x14ac:dyDescent="0.2">
      <c r="A1431">
        <v>736787.61840000004</v>
      </c>
      <c r="B1431">
        <v>-149.596564</v>
      </c>
      <c r="C1431">
        <v>-17.019252999999999</v>
      </c>
      <c r="D1431">
        <v>162.56879982619299</v>
      </c>
      <c r="E1431">
        <v>30.3</v>
      </c>
      <c r="F1431">
        <v>9.9534399913096507</v>
      </c>
    </row>
    <row r="1432" spans="1:6" x14ac:dyDescent="0.2">
      <c r="A1432">
        <v>736787.61840000004</v>
      </c>
      <c r="B1432">
        <v>-149.59657300000001</v>
      </c>
      <c r="C1432">
        <v>-17.019255000000001</v>
      </c>
      <c r="D1432">
        <v>162.56879982619299</v>
      </c>
      <c r="E1432">
        <v>30.3</v>
      </c>
      <c r="F1432">
        <v>9.9534399913096507</v>
      </c>
    </row>
    <row r="1433" spans="1:6" x14ac:dyDescent="0.2">
      <c r="A1433">
        <v>736787.61840000004</v>
      </c>
      <c r="B1433">
        <v>-149.59659400000001</v>
      </c>
      <c r="C1433">
        <v>-17.019244</v>
      </c>
      <c r="D1433">
        <v>162.56879982619299</v>
      </c>
      <c r="E1433">
        <v>30.3</v>
      </c>
      <c r="F1433">
        <v>9.9534399913096507</v>
      </c>
    </row>
    <row r="1434" spans="1:6" x14ac:dyDescent="0.2">
      <c r="A1434">
        <v>736787.61840000004</v>
      </c>
      <c r="B1434">
        <v>-149.59660600000001</v>
      </c>
      <c r="C1434">
        <v>-17.019241999999998</v>
      </c>
      <c r="D1434">
        <v>162.56879982619299</v>
      </c>
      <c r="E1434">
        <v>30.3</v>
      </c>
      <c r="F1434">
        <v>9.9534399913096507</v>
      </c>
    </row>
    <row r="1435" spans="1:6" x14ac:dyDescent="0.2">
      <c r="A1435">
        <v>736787.61840000004</v>
      </c>
      <c r="B1435">
        <v>-149.59661700000001</v>
      </c>
      <c r="C1435">
        <v>-17.01924</v>
      </c>
      <c r="D1435">
        <v>162.56879982619299</v>
      </c>
      <c r="E1435">
        <v>30.3</v>
      </c>
      <c r="F1435">
        <v>9.9534399913096507</v>
      </c>
    </row>
    <row r="1436" spans="1:6" x14ac:dyDescent="0.2">
      <c r="A1436">
        <v>736787.61840000004</v>
      </c>
      <c r="B1436">
        <v>-149.59663</v>
      </c>
      <c r="C1436">
        <v>-17.019237</v>
      </c>
      <c r="D1436">
        <v>162.56879982619299</v>
      </c>
      <c r="E1436">
        <v>30.3</v>
      </c>
      <c r="F1436">
        <v>9.9534399913096507</v>
      </c>
    </row>
    <row r="1437" spans="1:6" x14ac:dyDescent="0.2">
      <c r="A1437">
        <v>736787.61840000004</v>
      </c>
      <c r="B1437">
        <v>-149.59664100000001</v>
      </c>
      <c r="C1437">
        <v>-17.019235999999999</v>
      </c>
      <c r="D1437">
        <v>162.56879982619299</v>
      </c>
      <c r="E1437">
        <v>30.3</v>
      </c>
      <c r="F1437">
        <v>9.9534399913096507</v>
      </c>
    </row>
    <row r="1438" spans="1:6" x14ac:dyDescent="0.2">
      <c r="A1438">
        <v>736787.61849999998</v>
      </c>
      <c r="B1438">
        <v>-149.596653</v>
      </c>
      <c r="C1438">
        <v>-17.019233</v>
      </c>
      <c r="D1438">
        <v>162.30000000000001</v>
      </c>
      <c r="E1438">
        <v>30.3</v>
      </c>
      <c r="F1438">
        <v>9.94</v>
      </c>
    </row>
    <row r="1439" spans="1:6" x14ac:dyDescent="0.2">
      <c r="A1439">
        <v>736787.61849999998</v>
      </c>
      <c r="B1439">
        <v>-149.59666799999999</v>
      </c>
      <c r="C1439">
        <v>-17.019233</v>
      </c>
      <c r="D1439">
        <v>162.30000000000001</v>
      </c>
      <c r="E1439">
        <v>30.3</v>
      </c>
      <c r="F1439">
        <v>9.94</v>
      </c>
    </row>
    <row r="1440" spans="1:6" x14ac:dyDescent="0.2">
      <c r="A1440">
        <v>736787.61849999998</v>
      </c>
      <c r="B1440">
        <v>-149.59667899999999</v>
      </c>
      <c r="C1440">
        <v>-17.019231999999999</v>
      </c>
      <c r="D1440">
        <v>162.30000000000001</v>
      </c>
      <c r="E1440">
        <v>30.3</v>
      </c>
      <c r="F1440">
        <v>9.94</v>
      </c>
    </row>
    <row r="1441" spans="1:6" x14ac:dyDescent="0.2">
      <c r="A1441">
        <v>736787.61849999998</v>
      </c>
      <c r="B1441">
        <v>-149.59669700000001</v>
      </c>
      <c r="C1441">
        <v>-17.019228999999999</v>
      </c>
      <c r="D1441">
        <v>162.30000000000001</v>
      </c>
      <c r="E1441">
        <v>30.3</v>
      </c>
      <c r="F1441">
        <v>9.94</v>
      </c>
    </row>
    <row r="1442" spans="1:6" x14ac:dyDescent="0.2">
      <c r="A1442">
        <v>736787.61849999998</v>
      </c>
      <c r="B1442">
        <v>-149.59671</v>
      </c>
      <c r="C1442">
        <v>-17.019233</v>
      </c>
      <c r="D1442">
        <v>162.30000000000001</v>
      </c>
      <c r="E1442">
        <v>30.3</v>
      </c>
      <c r="F1442">
        <v>9.94</v>
      </c>
    </row>
    <row r="1443" spans="1:6" x14ac:dyDescent="0.2">
      <c r="A1443">
        <v>736787.61849999998</v>
      </c>
      <c r="B1443">
        <v>-149.59671900000001</v>
      </c>
      <c r="C1443">
        <v>-17.019237</v>
      </c>
      <c r="D1443">
        <v>162.30000000000001</v>
      </c>
      <c r="E1443">
        <v>30.3</v>
      </c>
      <c r="F1443">
        <v>9.94</v>
      </c>
    </row>
    <row r="1444" spans="1:6" x14ac:dyDescent="0.2">
      <c r="A1444">
        <v>736787.61860000005</v>
      </c>
      <c r="B1444">
        <v>-149.59673900000001</v>
      </c>
      <c r="C1444">
        <v>-17.019238999999999</v>
      </c>
      <c r="D1444">
        <v>162.39679985194201</v>
      </c>
      <c r="E1444">
        <v>30.3</v>
      </c>
      <c r="F1444">
        <v>9.9398399925970899</v>
      </c>
    </row>
    <row r="1445" spans="1:6" x14ac:dyDescent="0.2">
      <c r="A1445">
        <v>736787.61860000005</v>
      </c>
      <c r="B1445">
        <v>-149.59674999999999</v>
      </c>
      <c r="C1445">
        <v>-17.019238999999999</v>
      </c>
      <c r="D1445">
        <v>162.39679985194201</v>
      </c>
      <c r="E1445">
        <v>30.3</v>
      </c>
      <c r="F1445">
        <v>9.9398399925970899</v>
      </c>
    </row>
    <row r="1446" spans="1:6" x14ac:dyDescent="0.2">
      <c r="A1446">
        <v>736787.61860000005</v>
      </c>
      <c r="B1446">
        <v>-149.59676899999999</v>
      </c>
      <c r="C1446">
        <v>-17.019238000000001</v>
      </c>
      <c r="D1446">
        <v>162.39679985194201</v>
      </c>
      <c r="E1446">
        <v>30.3</v>
      </c>
      <c r="F1446">
        <v>9.9398399925970899</v>
      </c>
    </row>
    <row r="1447" spans="1:6" x14ac:dyDescent="0.2">
      <c r="A1447">
        <v>736787.61860000005</v>
      </c>
      <c r="B1447">
        <v>-149.59678</v>
      </c>
      <c r="C1447">
        <v>-17.019237</v>
      </c>
      <c r="D1447">
        <v>162.39679985194201</v>
      </c>
      <c r="E1447">
        <v>30.3</v>
      </c>
      <c r="F1447">
        <v>9.9398399925970899</v>
      </c>
    </row>
    <row r="1448" spans="1:6" x14ac:dyDescent="0.2">
      <c r="A1448">
        <v>736787.61860000005</v>
      </c>
      <c r="B1448">
        <v>-149.59679600000001</v>
      </c>
      <c r="C1448">
        <v>-17.019231000000001</v>
      </c>
      <c r="D1448">
        <v>162.39679985194201</v>
      </c>
      <c r="E1448">
        <v>30.3</v>
      </c>
      <c r="F1448">
        <v>9.9398399925970899</v>
      </c>
    </row>
    <row r="1449" spans="1:6" x14ac:dyDescent="0.2">
      <c r="A1449">
        <v>736787.61860000005</v>
      </c>
      <c r="B1449">
        <v>-149.59680599999999</v>
      </c>
      <c r="C1449">
        <v>-17.019227999999998</v>
      </c>
      <c r="D1449">
        <v>162.39679985194201</v>
      </c>
      <c r="E1449">
        <v>30.3</v>
      </c>
      <c r="F1449">
        <v>9.9398399925970899</v>
      </c>
    </row>
    <row r="1450" spans="1:6" x14ac:dyDescent="0.2">
      <c r="A1450">
        <v>736787.61869999999</v>
      </c>
      <c r="B1450">
        <v>-149.59681599999999</v>
      </c>
      <c r="C1450">
        <v>-17.019221999999999</v>
      </c>
      <c r="D1450">
        <v>162</v>
      </c>
      <c r="E1450">
        <v>30.3</v>
      </c>
      <c r="F1450">
        <v>9.9126399961376208</v>
      </c>
    </row>
    <row r="1451" spans="1:6" x14ac:dyDescent="0.2">
      <c r="A1451">
        <v>736787.61869999999</v>
      </c>
      <c r="B1451">
        <v>-149.59682699999999</v>
      </c>
      <c r="C1451">
        <v>-17.019210999999999</v>
      </c>
      <c r="D1451">
        <v>162</v>
      </c>
      <c r="E1451">
        <v>30.3</v>
      </c>
      <c r="F1451">
        <v>9.9126399961376208</v>
      </c>
    </row>
    <row r="1452" spans="1:6" x14ac:dyDescent="0.2">
      <c r="A1452">
        <v>736787.61869999999</v>
      </c>
      <c r="B1452">
        <v>-149.59683699999999</v>
      </c>
      <c r="C1452">
        <v>-17.019203000000001</v>
      </c>
      <c r="D1452">
        <v>162</v>
      </c>
      <c r="E1452">
        <v>30.3</v>
      </c>
      <c r="F1452">
        <v>9.9126399961376208</v>
      </c>
    </row>
    <row r="1453" spans="1:6" x14ac:dyDescent="0.2">
      <c r="A1453">
        <v>736787.61869999999</v>
      </c>
      <c r="B1453">
        <v>-149.596846</v>
      </c>
      <c r="C1453">
        <v>-17.019197999999999</v>
      </c>
      <c r="D1453">
        <v>162</v>
      </c>
      <c r="E1453">
        <v>30.3</v>
      </c>
      <c r="F1453">
        <v>9.9126399961376208</v>
      </c>
    </row>
    <row r="1454" spans="1:6" x14ac:dyDescent="0.2">
      <c r="A1454">
        <v>736787.61869999999</v>
      </c>
      <c r="B1454">
        <v>-149.59685200000001</v>
      </c>
      <c r="C1454">
        <v>-17.019196999999998</v>
      </c>
      <c r="D1454">
        <v>162</v>
      </c>
      <c r="E1454">
        <v>30.3</v>
      </c>
      <c r="F1454">
        <v>9.9126399961376208</v>
      </c>
    </row>
    <row r="1455" spans="1:6" x14ac:dyDescent="0.2">
      <c r="A1455">
        <v>736787.61880000005</v>
      </c>
      <c r="B1455">
        <v>-149.596867</v>
      </c>
      <c r="C1455">
        <v>-17.019189999999998</v>
      </c>
      <c r="D1455">
        <v>162.667999557435</v>
      </c>
      <c r="E1455">
        <v>30.3</v>
      </c>
      <c r="F1455">
        <v>9.9583999778717693</v>
      </c>
    </row>
    <row r="1456" spans="1:6" x14ac:dyDescent="0.2">
      <c r="A1456">
        <v>736787.61880000005</v>
      </c>
      <c r="B1456">
        <v>-149.59688199999999</v>
      </c>
      <c r="C1456">
        <v>-17.019186000000001</v>
      </c>
      <c r="D1456">
        <v>162.667999557435</v>
      </c>
      <c r="E1456">
        <v>30.3</v>
      </c>
      <c r="F1456">
        <v>9.9583999778717693</v>
      </c>
    </row>
    <row r="1457" spans="1:6" x14ac:dyDescent="0.2">
      <c r="A1457">
        <v>736787.61880000005</v>
      </c>
      <c r="B1457">
        <v>-149.59689499999999</v>
      </c>
      <c r="C1457">
        <v>-17.019186000000001</v>
      </c>
      <c r="D1457">
        <v>162.667999557435</v>
      </c>
      <c r="E1457">
        <v>30.3</v>
      </c>
      <c r="F1457">
        <v>9.9583999778717693</v>
      </c>
    </row>
    <row r="1458" spans="1:6" x14ac:dyDescent="0.2">
      <c r="A1458">
        <v>736787.61880000005</v>
      </c>
      <c r="B1458">
        <v>-149.59691100000001</v>
      </c>
      <c r="C1458">
        <v>-17.019189999999998</v>
      </c>
      <c r="D1458">
        <v>162.667999557435</v>
      </c>
      <c r="E1458">
        <v>30.3</v>
      </c>
      <c r="F1458">
        <v>9.9583999778717693</v>
      </c>
    </row>
    <row r="1459" spans="1:6" x14ac:dyDescent="0.2">
      <c r="A1459">
        <v>736787.61880000005</v>
      </c>
      <c r="B1459">
        <v>-149.59692200000001</v>
      </c>
      <c r="C1459">
        <v>-17.019189999999998</v>
      </c>
      <c r="D1459">
        <v>162.667999557435</v>
      </c>
      <c r="E1459">
        <v>30.3</v>
      </c>
      <c r="F1459">
        <v>9.9583999778717693</v>
      </c>
    </row>
    <row r="1460" spans="1:6" x14ac:dyDescent="0.2">
      <c r="A1460">
        <v>736787.61880000005</v>
      </c>
      <c r="B1460">
        <v>-149.596935</v>
      </c>
      <c r="C1460">
        <v>-17.019193000000001</v>
      </c>
      <c r="D1460">
        <v>162.667999557435</v>
      </c>
      <c r="E1460">
        <v>30.3</v>
      </c>
      <c r="F1460">
        <v>9.9583999778717693</v>
      </c>
    </row>
    <row r="1461" spans="1:6" x14ac:dyDescent="0.2">
      <c r="A1461">
        <v>736787.6189</v>
      </c>
      <c r="B1461">
        <v>-149.596947</v>
      </c>
      <c r="C1461">
        <v>-17.019193999999999</v>
      </c>
      <c r="D1461">
        <v>161.9</v>
      </c>
      <c r="E1461">
        <v>30.3</v>
      </c>
      <c r="F1461">
        <v>9.92</v>
      </c>
    </row>
    <row r="1462" spans="1:6" x14ac:dyDescent="0.2">
      <c r="A1462">
        <v>736787.6189</v>
      </c>
      <c r="B1462">
        <v>-149.596959</v>
      </c>
      <c r="C1462">
        <v>-17.019189000000001</v>
      </c>
      <c r="D1462">
        <v>161.9</v>
      </c>
      <c r="E1462">
        <v>30.3</v>
      </c>
      <c r="F1462">
        <v>9.92</v>
      </c>
    </row>
    <row r="1463" spans="1:6" x14ac:dyDescent="0.2">
      <c r="A1463">
        <v>736787.6189</v>
      </c>
      <c r="B1463">
        <v>-149.596981</v>
      </c>
      <c r="C1463">
        <v>-17.019189999999998</v>
      </c>
      <c r="D1463">
        <v>161.9</v>
      </c>
      <c r="E1463">
        <v>30.3</v>
      </c>
      <c r="F1463">
        <v>9.92</v>
      </c>
    </row>
    <row r="1464" spans="1:6" x14ac:dyDescent="0.2">
      <c r="A1464">
        <v>736787.6189</v>
      </c>
      <c r="B1464">
        <v>-149.596993</v>
      </c>
      <c r="C1464">
        <v>-17.019190999999999</v>
      </c>
      <c r="D1464">
        <v>161.9</v>
      </c>
      <c r="E1464">
        <v>30.3</v>
      </c>
      <c r="F1464">
        <v>9.92</v>
      </c>
    </row>
    <row r="1465" spans="1:6" x14ac:dyDescent="0.2">
      <c r="A1465">
        <v>736787.6189</v>
      </c>
      <c r="B1465">
        <v>-149.597004</v>
      </c>
      <c r="C1465">
        <v>-17.019186000000001</v>
      </c>
      <c r="D1465">
        <v>161.9</v>
      </c>
      <c r="E1465">
        <v>30.3</v>
      </c>
      <c r="F1465">
        <v>9.92</v>
      </c>
    </row>
    <row r="1466" spans="1:6" x14ac:dyDescent="0.2">
      <c r="A1466">
        <v>736787.6189</v>
      </c>
      <c r="B1466">
        <v>-149.597016</v>
      </c>
      <c r="C1466">
        <v>-17.019183999999999</v>
      </c>
      <c r="D1466">
        <v>161.9</v>
      </c>
      <c r="E1466">
        <v>30.3</v>
      </c>
      <c r="F1466">
        <v>9.92</v>
      </c>
    </row>
    <row r="1467" spans="1:6" x14ac:dyDescent="0.2">
      <c r="A1467">
        <v>736787.6189</v>
      </c>
      <c r="B1467">
        <v>-149.597027</v>
      </c>
      <c r="C1467">
        <v>-17.019186999999999</v>
      </c>
      <c r="D1467">
        <v>161.9</v>
      </c>
      <c r="E1467">
        <v>30.3</v>
      </c>
      <c r="F1467">
        <v>9.92</v>
      </c>
    </row>
    <row r="1468" spans="1:6" x14ac:dyDescent="0.2">
      <c r="A1468">
        <v>736787.6189</v>
      </c>
      <c r="B1468">
        <v>-149.597036</v>
      </c>
      <c r="C1468">
        <v>-17.019186000000001</v>
      </c>
      <c r="D1468">
        <v>161.9</v>
      </c>
      <c r="E1468">
        <v>30.3</v>
      </c>
      <c r="F1468">
        <v>9.92</v>
      </c>
    </row>
    <row r="1469" spans="1:6" x14ac:dyDescent="0.2">
      <c r="A1469">
        <v>736787.61899999995</v>
      </c>
      <c r="B1469">
        <v>-149.597047</v>
      </c>
      <c r="C1469">
        <v>-17.019179999999999</v>
      </c>
      <c r="D1469">
        <v>159.96800321060201</v>
      </c>
      <c r="E1469">
        <v>30.3</v>
      </c>
      <c r="F1469">
        <v>9.8004001987515696</v>
      </c>
    </row>
    <row r="1470" spans="1:6" x14ac:dyDescent="0.2">
      <c r="A1470">
        <v>736787.61899999995</v>
      </c>
      <c r="B1470">
        <v>-149.59706</v>
      </c>
      <c r="C1470">
        <v>-17.019176000000002</v>
      </c>
      <c r="D1470">
        <v>159.96800321060201</v>
      </c>
      <c r="E1470">
        <v>30.3</v>
      </c>
      <c r="F1470">
        <v>9.8004001987515696</v>
      </c>
    </row>
    <row r="1471" spans="1:6" x14ac:dyDescent="0.2">
      <c r="A1471">
        <v>736787.61899999995</v>
      </c>
      <c r="B1471">
        <v>-149.59707800000001</v>
      </c>
      <c r="C1471">
        <v>-17.019172000000001</v>
      </c>
      <c r="D1471">
        <v>159.96800321060201</v>
      </c>
      <c r="E1471">
        <v>30.3</v>
      </c>
      <c r="F1471">
        <v>9.8004001987515696</v>
      </c>
    </row>
    <row r="1472" spans="1:6" x14ac:dyDescent="0.2">
      <c r="A1472">
        <v>736787.61899999995</v>
      </c>
      <c r="B1472">
        <v>-149.59709100000001</v>
      </c>
      <c r="C1472">
        <v>-17.019168000000001</v>
      </c>
      <c r="D1472">
        <v>159.96800321060201</v>
      </c>
      <c r="E1472">
        <v>30.3</v>
      </c>
      <c r="F1472">
        <v>9.8004001987515696</v>
      </c>
    </row>
    <row r="1473" spans="1:6" x14ac:dyDescent="0.2">
      <c r="A1473">
        <v>736787.61899999995</v>
      </c>
      <c r="B1473">
        <v>-149.597103</v>
      </c>
      <c r="C1473">
        <v>-17.019166999999999</v>
      </c>
      <c r="D1473">
        <v>159.96800321060201</v>
      </c>
      <c r="E1473">
        <v>30.3</v>
      </c>
      <c r="F1473">
        <v>9.8004001987515696</v>
      </c>
    </row>
    <row r="1474" spans="1:6" x14ac:dyDescent="0.2">
      <c r="A1474">
        <v>736787.61899999995</v>
      </c>
      <c r="B1474">
        <v>-149.59711899999999</v>
      </c>
      <c r="C1474">
        <v>-17.019157</v>
      </c>
      <c r="D1474">
        <v>159.96800321060201</v>
      </c>
      <c r="E1474">
        <v>30.3</v>
      </c>
      <c r="F1474">
        <v>9.8004001987515696</v>
      </c>
    </row>
    <row r="1475" spans="1:6" x14ac:dyDescent="0.2">
      <c r="A1475">
        <v>736787.61910000001</v>
      </c>
      <c r="B1475">
        <v>-149.59712999999999</v>
      </c>
      <c r="C1475">
        <v>-17.01915</v>
      </c>
      <c r="D1475">
        <v>158.4</v>
      </c>
      <c r="E1475">
        <v>30.2</v>
      </c>
      <c r="F1475">
        <v>9.7200000000000006</v>
      </c>
    </row>
    <row r="1476" spans="1:6" x14ac:dyDescent="0.2">
      <c r="A1476">
        <v>736787.61910000001</v>
      </c>
      <c r="B1476">
        <v>-149.59714500000001</v>
      </c>
      <c r="C1476">
        <v>-17.019147</v>
      </c>
      <c r="D1476">
        <v>158.4</v>
      </c>
      <c r="E1476">
        <v>30.2</v>
      </c>
      <c r="F1476">
        <v>9.7200000000000006</v>
      </c>
    </row>
    <row r="1477" spans="1:6" x14ac:dyDescent="0.2">
      <c r="A1477">
        <v>736787.61910000001</v>
      </c>
      <c r="B1477">
        <v>-149.59715399999999</v>
      </c>
      <c r="C1477">
        <v>-17.019141999999999</v>
      </c>
      <c r="D1477">
        <v>158.4</v>
      </c>
      <c r="E1477">
        <v>30.2</v>
      </c>
      <c r="F1477">
        <v>9.7200000000000006</v>
      </c>
    </row>
    <row r="1478" spans="1:6" x14ac:dyDescent="0.2">
      <c r="A1478">
        <v>736787.61910000001</v>
      </c>
      <c r="B1478">
        <v>-149.597171</v>
      </c>
      <c r="C1478">
        <v>-17.019138000000002</v>
      </c>
      <c r="D1478">
        <v>158.4</v>
      </c>
      <c r="E1478">
        <v>30.2</v>
      </c>
      <c r="F1478">
        <v>9.7200000000000006</v>
      </c>
    </row>
    <row r="1479" spans="1:6" x14ac:dyDescent="0.2">
      <c r="A1479">
        <v>736787.61910000001</v>
      </c>
      <c r="B1479">
        <v>-149.59718000000001</v>
      </c>
      <c r="C1479">
        <v>-17.019133</v>
      </c>
      <c r="D1479">
        <v>158.4</v>
      </c>
      <c r="E1479">
        <v>30.2</v>
      </c>
      <c r="F1479">
        <v>9.7200000000000006</v>
      </c>
    </row>
    <row r="1480" spans="1:6" x14ac:dyDescent="0.2">
      <c r="A1480">
        <v>736787.61910000001</v>
      </c>
      <c r="B1480">
        <v>-149.597193</v>
      </c>
      <c r="C1480">
        <v>-17.019124999999999</v>
      </c>
      <c r="D1480">
        <v>158.4</v>
      </c>
      <c r="E1480">
        <v>30.2</v>
      </c>
      <c r="F1480">
        <v>9.7200000000000006</v>
      </c>
    </row>
    <row r="1481" spans="1:6" x14ac:dyDescent="0.2">
      <c r="A1481">
        <v>736787.61910000001</v>
      </c>
      <c r="B1481">
        <v>-149.597205</v>
      </c>
      <c r="C1481">
        <v>-17.019126</v>
      </c>
      <c r="D1481">
        <v>158.4</v>
      </c>
      <c r="E1481">
        <v>30.2</v>
      </c>
      <c r="F1481">
        <v>9.7200000000000006</v>
      </c>
    </row>
    <row r="1482" spans="1:6" x14ac:dyDescent="0.2">
      <c r="A1482">
        <v>736787.61919999996</v>
      </c>
      <c r="B1482">
        <v>-149.59721500000001</v>
      </c>
      <c r="C1482">
        <v>-17.019126</v>
      </c>
      <c r="D1482">
        <v>156.92400070810399</v>
      </c>
      <c r="E1482">
        <v>30.2</v>
      </c>
      <c r="F1482">
        <v>9.6274400424862492</v>
      </c>
    </row>
    <row r="1483" spans="1:6" x14ac:dyDescent="0.2">
      <c r="A1483">
        <v>736787.61919999996</v>
      </c>
      <c r="B1483">
        <v>-149.597228</v>
      </c>
      <c r="C1483">
        <v>-17.019121999999999</v>
      </c>
      <c r="D1483">
        <v>156.92400070810399</v>
      </c>
      <c r="E1483">
        <v>30.2</v>
      </c>
      <c r="F1483">
        <v>9.6274400424862492</v>
      </c>
    </row>
    <row r="1484" spans="1:6" x14ac:dyDescent="0.2">
      <c r="A1484">
        <v>736787.61919999996</v>
      </c>
      <c r="B1484">
        <v>-149.59724299999999</v>
      </c>
      <c r="C1484">
        <v>-17.019123</v>
      </c>
      <c r="D1484">
        <v>156.92400070810399</v>
      </c>
      <c r="E1484">
        <v>30.2</v>
      </c>
      <c r="F1484">
        <v>9.6274400424862492</v>
      </c>
    </row>
    <row r="1485" spans="1:6" x14ac:dyDescent="0.2">
      <c r="A1485">
        <v>736787.61919999996</v>
      </c>
      <c r="B1485">
        <v>-149.59725399999999</v>
      </c>
      <c r="C1485">
        <v>-17.019124000000001</v>
      </c>
      <c r="D1485">
        <v>156.92400070810399</v>
      </c>
      <c r="E1485">
        <v>30.2</v>
      </c>
      <c r="F1485">
        <v>9.6274400424862492</v>
      </c>
    </row>
    <row r="1486" spans="1:6" x14ac:dyDescent="0.2">
      <c r="A1486">
        <v>736787.61919999996</v>
      </c>
      <c r="B1486">
        <v>-149.597264</v>
      </c>
      <c r="C1486">
        <v>-17.019117999999999</v>
      </c>
      <c r="D1486">
        <v>156.92400070810399</v>
      </c>
      <c r="E1486">
        <v>30.2</v>
      </c>
      <c r="F1486">
        <v>9.6274400424862492</v>
      </c>
    </row>
    <row r="1487" spans="1:6" x14ac:dyDescent="0.2">
      <c r="A1487">
        <v>736787.61919999996</v>
      </c>
      <c r="B1487">
        <v>-149.597283</v>
      </c>
      <c r="C1487">
        <v>-17.019113999999998</v>
      </c>
      <c r="D1487">
        <v>156.92400070810399</v>
      </c>
      <c r="E1487">
        <v>30.2</v>
      </c>
      <c r="F1487">
        <v>9.6274400424862492</v>
      </c>
    </row>
    <row r="1488" spans="1:6" x14ac:dyDescent="0.2">
      <c r="A1488">
        <v>736787.61919999996</v>
      </c>
      <c r="B1488">
        <v>-149.59729300000001</v>
      </c>
      <c r="C1488">
        <v>-17.019110000000001</v>
      </c>
      <c r="D1488">
        <v>156.92400070810399</v>
      </c>
      <c r="E1488">
        <v>30.2</v>
      </c>
      <c r="F1488">
        <v>9.6274400424862492</v>
      </c>
    </row>
    <row r="1489" spans="1:6" x14ac:dyDescent="0.2">
      <c r="A1489">
        <v>736787.61930000002</v>
      </c>
      <c r="B1489">
        <v>-149.597307</v>
      </c>
      <c r="C1489">
        <v>-17.019109</v>
      </c>
      <c r="D1489">
        <v>156.17519930477201</v>
      </c>
      <c r="E1489">
        <v>30.1</v>
      </c>
      <c r="F1489">
        <v>9.5916799536514592</v>
      </c>
    </row>
    <row r="1490" spans="1:6" x14ac:dyDescent="0.2">
      <c r="A1490">
        <v>736787.61930000002</v>
      </c>
      <c r="B1490">
        <v>-149.597318</v>
      </c>
      <c r="C1490">
        <v>-17.019107000000002</v>
      </c>
      <c r="D1490">
        <v>156.17519930477201</v>
      </c>
      <c r="E1490">
        <v>30.1</v>
      </c>
      <c r="F1490">
        <v>9.5916799536514592</v>
      </c>
    </row>
    <row r="1491" spans="1:6" x14ac:dyDescent="0.2">
      <c r="A1491">
        <v>736787.61930000002</v>
      </c>
      <c r="B1491">
        <v>-149.597329</v>
      </c>
      <c r="C1491">
        <v>-17.019106000000001</v>
      </c>
      <c r="D1491">
        <v>156.17519930477201</v>
      </c>
      <c r="E1491">
        <v>30.1</v>
      </c>
      <c r="F1491">
        <v>9.5916799536514592</v>
      </c>
    </row>
    <row r="1492" spans="1:6" x14ac:dyDescent="0.2">
      <c r="A1492">
        <v>736787.61930000002</v>
      </c>
      <c r="B1492">
        <v>-149.597341</v>
      </c>
      <c r="C1492">
        <v>-17.019103000000001</v>
      </c>
      <c r="D1492">
        <v>156.17519930477201</v>
      </c>
      <c r="E1492">
        <v>30.1</v>
      </c>
      <c r="F1492">
        <v>9.5916799536514592</v>
      </c>
    </row>
    <row r="1493" spans="1:6" x14ac:dyDescent="0.2">
      <c r="A1493">
        <v>736787.61930000002</v>
      </c>
      <c r="B1493">
        <v>-149.597352</v>
      </c>
      <c r="C1493">
        <v>-17.019100000000002</v>
      </c>
      <c r="D1493">
        <v>156.17519930477201</v>
      </c>
      <c r="E1493">
        <v>30.1</v>
      </c>
      <c r="F1493">
        <v>9.5916799536514592</v>
      </c>
    </row>
    <row r="1494" spans="1:6" x14ac:dyDescent="0.2">
      <c r="A1494">
        <v>736787.61930000002</v>
      </c>
      <c r="B1494">
        <v>-149.597362</v>
      </c>
      <c r="C1494">
        <v>-17.019100000000002</v>
      </c>
      <c r="D1494">
        <v>156.17519930477201</v>
      </c>
      <c r="E1494">
        <v>30.1</v>
      </c>
      <c r="F1494">
        <v>9.5916799536514592</v>
      </c>
    </row>
    <row r="1495" spans="1:6" x14ac:dyDescent="0.2">
      <c r="A1495">
        <v>736787.61930000002</v>
      </c>
      <c r="B1495">
        <v>-149.597373</v>
      </c>
      <c r="C1495">
        <v>-17.019096999999999</v>
      </c>
      <c r="D1495">
        <v>156.17519930477201</v>
      </c>
      <c r="E1495">
        <v>30.1</v>
      </c>
      <c r="F1495">
        <v>9.5916799536514592</v>
      </c>
    </row>
    <row r="1496" spans="1:6" x14ac:dyDescent="0.2">
      <c r="A1496">
        <v>736787.61939999997</v>
      </c>
      <c r="B1496">
        <v>-149.59738400000001</v>
      </c>
      <c r="C1496">
        <v>-17.019091</v>
      </c>
      <c r="D1496">
        <v>154.35120126010099</v>
      </c>
      <c r="E1496">
        <v>30.1</v>
      </c>
      <c r="F1496">
        <v>9.4784000700056108</v>
      </c>
    </row>
    <row r="1497" spans="1:6" x14ac:dyDescent="0.2">
      <c r="A1497">
        <v>736787.61939999997</v>
      </c>
      <c r="B1497">
        <v>-149.597397</v>
      </c>
      <c r="C1497">
        <v>-17.019086999999999</v>
      </c>
      <c r="D1497">
        <v>154.35120126010099</v>
      </c>
      <c r="E1497">
        <v>30.1</v>
      </c>
      <c r="F1497">
        <v>9.4784000700056108</v>
      </c>
    </row>
    <row r="1498" spans="1:6" x14ac:dyDescent="0.2">
      <c r="A1498">
        <v>736787.61939999997</v>
      </c>
      <c r="B1498">
        <v>-149.597407</v>
      </c>
      <c r="C1498">
        <v>-17.019086000000001</v>
      </c>
      <c r="D1498">
        <v>154.35120126010099</v>
      </c>
      <c r="E1498">
        <v>30.1</v>
      </c>
      <c r="F1498">
        <v>9.4784000700056108</v>
      </c>
    </row>
    <row r="1499" spans="1:6" x14ac:dyDescent="0.2">
      <c r="A1499">
        <v>736787.61939999997</v>
      </c>
      <c r="B1499">
        <v>-149.597418</v>
      </c>
      <c r="C1499">
        <v>-17.019083999999999</v>
      </c>
      <c r="D1499">
        <v>154.35120126010099</v>
      </c>
      <c r="E1499">
        <v>30.1</v>
      </c>
      <c r="F1499">
        <v>9.4784000700056108</v>
      </c>
    </row>
    <row r="1500" spans="1:6" x14ac:dyDescent="0.2">
      <c r="A1500">
        <v>736787.61939999997</v>
      </c>
      <c r="B1500">
        <v>-149.597432</v>
      </c>
      <c r="C1500">
        <v>-17.019075999999998</v>
      </c>
      <c r="D1500">
        <v>154.35120126010099</v>
      </c>
      <c r="E1500">
        <v>30.1</v>
      </c>
      <c r="F1500">
        <v>9.4784000700056108</v>
      </c>
    </row>
    <row r="1501" spans="1:6" x14ac:dyDescent="0.2">
      <c r="A1501">
        <v>736787.61939999997</v>
      </c>
      <c r="B1501">
        <v>-149.597443</v>
      </c>
      <c r="C1501">
        <v>-17.019071</v>
      </c>
      <c r="D1501">
        <v>154.35120126010099</v>
      </c>
      <c r="E1501">
        <v>30.1</v>
      </c>
      <c r="F1501">
        <v>9.4784000700056108</v>
      </c>
    </row>
    <row r="1502" spans="1:6" x14ac:dyDescent="0.2">
      <c r="A1502">
        <v>736787.61939999997</v>
      </c>
      <c r="B1502">
        <v>-149.59746000000001</v>
      </c>
      <c r="C1502">
        <v>-17.019071</v>
      </c>
      <c r="D1502">
        <v>154.35120126010099</v>
      </c>
      <c r="E1502">
        <v>30.1</v>
      </c>
      <c r="F1502">
        <v>9.4784000700056108</v>
      </c>
    </row>
    <row r="1503" spans="1:6" x14ac:dyDescent="0.2">
      <c r="A1503">
        <v>736787.61939999997</v>
      </c>
      <c r="B1503">
        <v>-149.59746999999999</v>
      </c>
      <c r="C1503">
        <v>-17.019065000000001</v>
      </c>
      <c r="D1503">
        <v>154.35120126010099</v>
      </c>
      <c r="E1503">
        <v>30.1</v>
      </c>
      <c r="F1503">
        <v>9.4784000700056108</v>
      </c>
    </row>
    <row r="1504" spans="1:6" x14ac:dyDescent="0.2">
      <c r="A1504">
        <v>736787.61950000003</v>
      </c>
      <c r="B1504">
        <v>-149.597478</v>
      </c>
      <c r="C1504">
        <v>-17.01906</v>
      </c>
      <c r="D1504">
        <v>153.59599942064301</v>
      </c>
      <c r="E1504">
        <v>30.1</v>
      </c>
      <c r="F1504">
        <v>9.4419999678135103</v>
      </c>
    </row>
    <row r="1505" spans="1:6" x14ac:dyDescent="0.2">
      <c r="A1505">
        <v>736787.61950000003</v>
      </c>
      <c r="B1505">
        <v>-149.59748999999999</v>
      </c>
      <c r="C1505">
        <v>-17.019054000000001</v>
      </c>
      <c r="D1505">
        <v>153.59599942064301</v>
      </c>
      <c r="E1505">
        <v>30.1</v>
      </c>
      <c r="F1505">
        <v>9.4419999678135103</v>
      </c>
    </row>
    <row r="1506" spans="1:6" x14ac:dyDescent="0.2">
      <c r="A1506">
        <v>736787.61950000003</v>
      </c>
      <c r="B1506">
        <v>-149.597508</v>
      </c>
      <c r="C1506">
        <v>-17.019048999999999</v>
      </c>
      <c r="D1506">
        <v>153.59599942064301</v>
      </c>
      <c r="E1506">
        <v>30.1</v>
      </c>
      <c r="F1506">
        <v>9.4419999678135103</v>
      </c>
    </row>
    <row r="1507" spans="1:6" x14ac:dyDescent="0.2">
      <c r="A1507">
        <v>736787.61950000003</v>
      </c>
      <c r="B1507">
        <v>-149.597522</v>
      </c>
      <c r="C1507">
        <v>-17.019043</v>
      </c>
      <c r="D1507">
        <v>153.59599942064301</v>
      </c>
      <c r="E1507">
        <v>30.1</v>
      </c>
      <c r="F1507">
        <v>9.4419999678135103</v>
      </c>
    </row>
    <row r="1508" spans="1:6" x14ac:dyDescent="0.2">
      <c r="A1508">
        <v>736787.61950000003</v>
      </c>
      <c r="B1508">
        <v>-149.597534</v>
      </c>
      <c r="C1508">
        <v>-17.019041999999999</v>
      </c>
      <c r="D1508">
        <v>153.59599942064301</v>
      </c>
      <c r="E1508">
        <v>30.1</v>
      </c>
      <c r="F1508">
        <v>9.4419999678135103</v>
      </c>
    </row>
    <row r="1509" spans="1:6" x14ac:dyDescent="0.2">
      <c r="A1509">
        <v>736787.61950000003</v>
      </c>
      <c r="B1509">
        <v>-149.597544</v>
      </c>
      <c r="C1509">
        <v>-17.019041000000001</v>
      </c>
      <c r="D1509">
        <v>153.59599942064301</v>
      </c>
      <c r="E1509">
        <v>30.1</v>
      </c>
      <c r="F1509">
        <v>9.4419999678135103</v>
      </c>
    </row>
    <row r="1510" spans="1:6" x14ac:dyDescent="0.2">
      <c r="A1510">
        <v>736787.61950000003</v>
      </c>
      <c r="B1510">
        <v>-149.597554</v>
      </c>
      <c r="C1510">
        <v>-17.019036</v>
      </c>
      <c r="D1510">
        <v>153.59599942064301</v>
      </c>
      <c r="E1510">
        <v>30.1</v>
      </c>
      <c r="F1510">
        <v>9.4419999678135103</v>
      </c>
    </row>
    <row r="1511" spans="1:6" x14ac:dyDescent="0.2">
      <c r="A1511">
        <v>736787.61950000003</v>
      </c>
      <c r="B1511">
        <v>-149.59756400000001</v>
      </c>
      <c r="C1511">
        <v>-17.019027999999999</v>
      </c>
      <c r="D1511">
        <v>153.59599942064301</v>
      </c>
      <c r="E1511">
        <v>30.1</v>
      </c>
      <c r="F1511">
        <v>9.4419999678135103</v>
      </c>
    </row>
    <row r="1512" spans="1:6" x14ac:dyDescent="0.2">
      <c r="A1512">
        <v>736787.61959999998</v>
      </c>
      <c r="B1512">
        <v>-149.59757999999999</v>
      </c>
      <c r="C1512">
        <v>-17.019023000000001</v>
      </c>
      <c r="D1512">
        <v>151.68320083202201</v>
      </c>
      <c r="E1512">
        <v>30.071200075638401</v>
      </c>
      <c r="F1512">
        <v>9.3227200453830399</v>
      </c>
    </row>
    <row r="1513" spans="1:6" x14ac:dyDescent="0.2">
      <c r="A1513">
        <v>736787.61959999998</v>
      </c>
      <c r="B1513">
        <v>-149.59759</v>
      </c>
      <c r="C1513">
        <v>-17.019019</v>
      </c>
      <c r="D1513">
        <v>151.68320083202201</v>
      </c>
      <c r="E1513">
        <v>30.071200075638401</v>
      </c>
      <c r="F1513">
        <v>9.3227200453830399</v>
      </c>
    </row>
    <row r="1514" spans="1:6" x14ac:dyDescent="0.2">
      <c r="A1514">
        <v>736787.61959999998</v>
      </c>
      <c r="B1514">
        <v>-149.597598</v>
      </c>
      <c r="C1514">
        <v>-17.019012</v>
      </c>
      <c r="D1514">
        <v>151.68320083202201</v>
      </c>
      <c r="E1514">
        <v>30.071200075638401</v>
      </c>
      <c r="F1514">
        <v>9.3227200453830399</v>
      </c>
    </row>
    <row r="1515" spans="1:6" x14ac:dyDescent="0.2">
      <c r="A1515">
        <v>736787.61959999998</v>
      </c>
      <c r="B1515">
        <v>-149.597612</v>
      </c>
      <c r="C1515">
        <v>-17.019005</v>
      </c>
      <c r="D1515">
        <v>151.68320083202201</v>
      </c>
      <c r="E1515">
        <v>30.071200075638401</v>
      </c>
      <c r="F1515">
        <v>9.3227200453830399</v>
      </c>
    </row>
    <row r="1516" spans="1:6" x14ac:dyDescent="0.2">
      <c r="A1516">
        <v>736787.61959999998</v>
      </c>
      <c r="B1516">
        <v>-149.597622</v>
      </c>
      <c r="C1516">
        <v>-17.018999000000001</v>
      </c>
      <c r="D1516">
        <v>151.68320083202201</v>
      </c>
      <c r="E1516">
        <v>30.071200075638401</v>
      </c>
      <c r="F1516">
        <v>9.3227200453830399</v>
      </c>
    </row>
    <row r="1517" spans="1:6" x14ac:dyDescent="0.2">
      <c r="A1517">
        <v>736787.61970000004</v>
      </c>
      <c r="B1517">
        <v>-149.597632</v>
      </c>
      <c r="C1517">
        <v>-17.018992000000001</v>
      </c>
      <c r="D1517">
        <v>150.87599893784599</v>
      </c>
      <c r="E1517">
        <v>30</v>
      </c>
      <c r="F1517">
        <v>9.2885599362707492</v>
      </c>
    </row>
    <row r="1518" spans="1:6" x14ac:dyDescent="0.2">
      <c r="A1518">
        <v>736787.61970000004</v>
      </c>
      <c r="B1518">
        <v>-149.597646</v>
      </c>
      <c r="C1518">
        <v>-17.018991</v>
      </c>
      <c r="D1518">
        <v>150.87599893784599</v>
      </c>
      <c r="E1518">
        <v>30</v>
      </c>
      <c r="F1518">
        <v>9.2885599362707492</v>
      </c>
    </row>
    <row r="1519" spans="1:6" x14ac:dyDescent="0.2">
      <c r="A1519">
        <v>736787.61970000004</v>
      </c>
      <c r="B1519">
        <v>-149.597666</v>
      </c>
      <c r="C1519">
        <v>-17.018986000000002</v>
      </c>
      <c r="D1519">
        <v>150.87599893784599</v>
      </c>
      <c r="E1519">
        <v>30</v>
      </c>
      <c r="F1519">
        <v>9.2885599362707492</v>
      </c>
    </row>
    <row r="1520" spans="1:6" x14ac:dyDescent="0.2">
      <c r="A1520">
        <v>736787.61970000004</v>
      </c>
      <c r="B1520">
        <v>-149.597678</v>
      </c>
      <c r="C1520">
        <v>-17.018986999999999</v>
      </c>
      <c r="D1520">
        <v>150.87599893784599</v>
      </c>
      <c r="E1520">
        <v>30</v>
      </c>
      <c r="F1520">
        <v>9.2885599362707492</v>
      </c>
    </row>
    <row r="1521" spans="1:6" x14ac:dyDescent="0.2">
      <c r="A1521">
        <v>736787.61970000004</v>
      </c>
      <c r="B1521">
        <v>-149.59768800000001</v>
      </c>
      <c r="C1521">
        <v>-17.018985000000001</v>
      </c>
      <c r="D1521">
        <v>150.87599893784599</v>
      </c>
      <c r="E1521">
        <v>30</v>
      </c>
      <c r="F1521">
        <v>9.2885599362707492</v>
      </c>
    </row>
    <row r="1522" spans="1:6" x14ac:dyDescent="0.2">
      <c r="A1522">
        <v>736787.61970000004</v>
      </c>
      <c r="B1522">
        <v>-149.59770599999999</v>
      </c>
      <c r="C1522">
        <v>-17.018979000000002</v>
      </c>
      <c r="D1522">
        <v>150.87599893784599</v>
      </c>
      <c r="E1522">
        <v>30</v>
      </c>
      <c r="F1522">
        <v>9.2885599362707492</v>
      </c>
    </row>
    <row r="1523" spans="1:6" x14ac:dyDescent="0.2">
      <c r="A1523">
        <v>736787.61970000004</v>
      </c>
      <c r="B1523">
        <v>-149.59771599999999</v>
      </c>
      <c r="C1523">
        <v>-17.018978000000001</v>
      </c>
      <c r="D1523">
        <v>150.87599893784599</v>
      </c>
      <c r="E1523">
        <v>30</v>
      </c>
      <c r="F1523">
        <v>9.2885599362707492</v>
      </c>
    </row>
    <row r="1524" spans="1:6" x14ac:dyDescent="0.2">
      <c r="A1524">
        <v>736787.61979999999</v>
      </c>
      <c r="B1524">
        <v>-149.597746</v>
      </c>
      <c r="C1524">
        <v>-17.018977</v>
      </c>
      <c r="D1524">
        <v>148.730399797225</v>
      </c>
      <c r="E1524">
        <v>30</v>
      </c>
      <c r="F1524">
        <v>9.1553599864816508</v>
      </c>
    </row>
    <row r="1525" spans="1:6" x14ac:dyDescent="0.2">
      <c r="A1525">
        <v>736787.61979999999</v>
      </c>
      <c r="B1525">
        <v>-149.597756</v>
      </c>
      <c r="C1525">
        <v>-17.018984</v>
      </c>
      <c r="D1525">
        <v>148.730399797225</v>
      </c>
      <c r="E1525">
        <v>30</v>
      </c>
      <c r="F1525">
        <v>9.1553599864816508</v>
      </c>
    </row>
    <row r="1526" spans="1:6" x14ac:dyDescent="0.2">
      <c r="A1526">
        <v>736787.61979999999</v>
      </c>
      <c r="B1526">
        <v>-149.597768</v>
      </c>
      <c r="C1526">
        <v>-17.018982000000001</v>
      </c>
      <c r="D1526">
        <v>148.730399797225</v>
      </c>
      <c r="E1526">
        <v>30</v>
      </c>
      <c r="F1526">
        <v>9.1553599864816508</v>
      </c>
    </row>
    <row r="1527" spans="1:6" x14ac:dyDescent="0.2">
      <c r="A1527">
        <v>736787.61979999999</v>
      </c>
      <c r="B1527">
        <v>-149.59778600000001</v>
      </c>
      <c r="C1527">
        <v>-17.018982000000001</v>
      </c>
      <c r="D1527">
        <v>148.730399797225</v>
      </c>
      <c r="E1527">
        <v>30</v>
      </c>
      <c r="F1527">
        <v>9.1553599864816508</v>
      </c>
    </row>
    <row r="1528" spans="1:6" x14ac:dyDescent="0.2">
      <c r="A1528">
        <v>736787.61990000005</v>
      </c>
      <c r="B1528">
        <v>-149.59779599999999</v>
      </c>
      <c r="C1528">
        <v>-17.018975999999999</v>
      </c>
      <c r="D1528">
        <v>147.98079915027699</v>
      </c>
      <c r="E1528">
        <v>29.9</v>
      </c>
      <c r="F1528">
        <v>9.1169599459267001</v>
      </c>
    </row>
    <row r="1529" spans="1:6" x14ac:dyDescent="0.2">
      <c r="A1529">
        <v>736787.61990000005</v>
      </c>
      <c r="B1529">
        <v>-149.59780599999999</v>
      </c>
      <c r="C1529">
        <v>-17.018972999999999</v>
      </c>
      <c r="D1529">
        <v>147.98079915027699</v>
      </c>
      <c r="E1529">
        <v>29.9</v>
      </c>
      <c r="F1529">
        <v>9.1169599459267001</v>
      </c>
    </row>
    <row r="1530" spans="1:6" x14ac:dyDescent="0.2">
      <c r="A1530">
        <v>736787.61990000005</v>
      </c>
      <c r="B1530">
        <v>-149.59782000000001</v>
      </c>
      <c r="C1530">
        <v>-17.018967</v>
      </c>
      <c r="D1530">
        <v>147.98079915027699</v>
      </c>
      <c r="E1530">
        <v>29.9</v>
      </c>
      <c r="F1530">
        <v>9.1169599459267001</v>
      </c>
    </row>
    <row r="1531" spans="1:6" x14ac:dyDescent="0.2">
      <c r="A1531">
        <v>736787.61990000005</v>
      </c>
      <c r="B1531">
        <v>-149.59782999999999</v>
      </c>
      <c r="C1531">
        <v>-17.018961999999998</v>
      </c>
      <c r="D1531">
        <v>147.98079915027699</v>
      </c>
      <c r="E1531">
        <v>29.9</v>
      </c>
      <c r="F1531">
        <v>9.1169599459267001</v>
      </c>
    </row>
    <row r="1532" spans="1:6" x14ac:dyDescent="0.2">
      <c r="A1532">
        <v>736787.61990000005</v>
      </c>
      <c r="B1532">
        <v>-149.59783999999999</v>
      </c>
      <c r="C1532">
        <v>-17.018961999999998</v>
      </c>
      <c r="D1532">
        <v>147.98079915027699</v>
      </c>
      <c r="E1532">
        <v>29.9</v>
      </c>
      <c r="F1532">
        <v>9.1169599459267001</v>
      </c>
    </row>
    <row r="1533" spans="1:6" x14ac:dyDescent="0.2">
      <c r="A1533">
        <v>736787.61990000005</v>
      </c>
      <c r="B1533">
        <v>-149.59784999999999</v>
      </c>
      <c r="C1533">
        <v>-17.018961000000001</v>
      </c>
      <c r="D1533">
        <v>147.98079915027699</v>
      </c>
      <c r="E1533">
        <v>29.9</v>
      </c>
      <c r="F1533">
        <v>9.1169599459267001</v>
      </c>
    </row>
    <row r="1534" spans="1:6" x14ac:dyDescent="0.2">
      <c r="A1534">
        <v>736787.61990000005</v>
      </c>
      <c r="B1534">
        <v>-149.59786199999999</v>
      </c>
      <c r="C1534">
        <v>-17.018958999999999</v>
      </c>
      <c r="D1534">
        <v>147.98079915027699</v>
      </c>
      <c r="E1534">
        <v>29.9</v>
      </c>
      <c r="F1534">
        <v>9.1169599459267001</v>
      </c>
    </row>
    <row r="1535" spans="1:6" x14ac:dyDescent="0.2">
      <c r="A1535">
        <v>736787.62</v>
      </c>
      <c r="B1535">
        <v>-149.59787600000001</v>
      </c>
      <c r="C1535">
        <v>-17.018958000000001</v>
      </c>
      <c r="D1535">
        <v>146.80000000000001</v>
      </c>
      <c r="E1535">
        <v>29.9</v>
      </c>
      <c r="F1535">
        <v>9.0500000000000007</v>
      </c>
    </row>
    <row r="1536" spans="1:6" x14ac:dyDescent="0.2">
      <c r="A1536">
        <v>736787.62</v>
      </c>
      <c r="B1536">
        <v>-149.59788800000001</v>
      </c>
      <c r="C1536">
        <v>-17.018954999999998</v>
      </c>
      <c r="D1536">
        <v>146.80000000000001</v>
      </c>
      <c r="E1536">
        <v>29.9</v>
      </c>
      <c r="F1536">
        <v>9.0500000000000007</v>
      </c>
    </row>
    <row r="1537" spans="1:6" x14ac:dyDescent="0.2">
      <c r="A1537">
        <v>736787.62</v>
      </c>
      <c r="B1537">
        <v>-149.59789799999999</v>
      </c>
      <c r="C1537">
        <v>-17.018954000000001</v>
      </c>
      <c r="D1537">
        <v>146.80000000000001</v>
      </c>
      <c r="E1537">
        <v>29.9</v>
      </c>
      <c r="F1537">
        <v>9.0500000000000007</v>
      </c>
    </row>
    <row r="1538" spans="1:6" x14ac:dyDescent="0.2">
      <c r="A1538">
        <v>736787.62</v>
      </c>
      <c r="B1538">
        <v>-149.59791799999999</v>
      </c>
      <c r="C1538">
        <v>-17.018958000000001</v>
      </c>
      <c r="D1538">
        <v>146.80000000000001</v>
      </c>
      <c r="E1538">
        <v>29.9</v>
      </c>
      <c r="F1538">
        <v>9.0500000000000007</v>
      </c>
    </row>
    <row r="1539" spans="1:6" x14ac:dyDescent="0.2">
      <c r="A1539">
        <v>736787.62</v>
      </c>
      <c r="B1539">
        <v>-149.59793199999999</v>
      </c>
      <c r="C1539">
        <v>-17.018955999999999</v>
      </c>
      <c r="D1539">
        <v>146.80000000000001</v>
      </c>
      <c r="E1539">
        <v>29.9</v>
      </c>
      <c r="F1539">
        <v>9.0500000000000007</v>
      </c>
    </row>
    <row r="1540" spans="1:6" x14ac:dyDescent="0.2">
      <c r="A1540">
        <v>736787.62</v>
      </c>
      <c r="B1540">
        <v>-149.59795399999999</v>
      </c>
      <c r="C1540">
        <v>-17.018957</v>
      </c>
      <c r="D1540">
        <v>146.80000000000001</v>
      </c>
      <c r="E1540">
        <v>29.9</v>
      </c>
      <c r="F1540">
        <v>9.0500000000000007</v>
      </c>
    </row>
    <row r="1541" spans="1:6" x14ac:dyDescent="0.2">
      <c r="A1541">
        <v>736787.62009999994</v>
      </c>
      <c r="B1541">
        <v>-149.59796600000001</v>
      </c>
      <c r="C1541">
        <v>-17.018958000000001</v>
      </c>
      <c r="D1541">
        <v>145.96480105732601</v>
      </c>
      <c r="E1541">
        <v>29.9</v>
      </c>
      <c r="F1541">
        <v>9.0036000587403393</v>
      </c>
    </row>
    <row r="1542" spans="1:6" x14ac:dyDescent="0.2">
      <c r="A1542">
        <v>736787.62009999994</v>
      </c>
      <c r="B1542">
        <v>-149.59797800000001</v>
      </c>
      <c r="C1542">
        <v>-17.018955999999999</v>
      </c>
      <c r="D1542">
        <v>145.96480105732601</v>
      </c>
      <c r="E1542">
        <v>29.9</v>
      </c>
      <c r="F1542">
        <v>9.0036000587403393</v>
      </c>
    </row>
    <row r="1543" spans="1:6" x14ac:dyDescent="0.2">
      <c r="A1543">
        <v>736787.62009999994</v>
      </c>
      <c r="B1543">
        <v>-149.59798799999999</v>
      </c>
      <c r="C1543">
        <v>-17.018953</v>
      </c>
      <c r="D1543">
        <v>145.96480105732601</v>
      </c>
      <c r="E1543">
        <v>29.9</v>
      </c>
      <c r="F1543">
        <v>9.0036000587403393</v>
      </c>
    </row>
    <row r="1544" spans="1:6" x14ac:dyDescent="0.2">
      <c r="A1544">
        <v>736787.62009999994</v>
      </c>
      <c r="B1544">
        <v>-149.59799799999999</v>
      </c>
      <c r="C1544">
        <v>-17.018947000000001</v>
      </c>
      <c r="D1544">
        <v>145.96480105732601</v>
      </c>
      <c r="E1544">
        <v>29.9</v>
      </c>
      <c r="F1544">
        <v>9.0036000587403393</v>
      </c>
    </row>
    <row r="1545" spans="1:6" x14ac:dyDescent="0.2">
      <c r="A1545">
        <v>736787.62009999994</v>
      </c>
      <c r="B1545">
        <v>-149.59800999999999</v>
      </c>
      <c r="C1545">
        <v>-17.018946</v>
      </c>
      <c r="D1545">
        <v>145.96480105732601</v>
      </c>
      <c r="E1545">
        <v>29.9</v>
      </c>
      <c r="F1545">
        <v>9.0036000587403393</v>
      </c>
    </row>
    <row r="1546" spans="1:6" x14ac:dyDescent="0.2">
      <c r="A1546">
        <v>736787.62009999994</v>
      </c>
      <c r="B1546">
        <v>-149.59801999999999</v>
      </c>
      <c r="C1546">
        <v>-17.018944000000001</v>
      </c>
      <c r="D1546">
        <v>145.96480105732601</v>
      </c>
      <c r="E1546">
        <v>29.9</v>
      </c>
      <c r="F1546">
        <v>9.0036000587403393</v>
      </c>
    </row>
    <row r="1547" spans="1:6" x14ac:dyDescent="0.2">
      <c r="A1547">
        <v>736787.62009999994</v>
      </c>
      <c r="B1547">
        <v>-149.59804399999999</v>
      </c>
      <c r="C1547">
        <v>-17.018939</v>
      </c>
      <c r="D1547">
        <v>145.96480105732601</v>
      </c>
      <c r="E1547">
        <v>29.9</v>
      </c>
      <c r="F1547">
        <v>9.0036000587403393</v>
      </c>
    </row>
    <row r="1548" spans="1:6" x14ac:dyDescent="0.2">
      <c r="A1548">
        <v>736787.6202</v>
      </c>
      <c r="B1548">
        <v>-149.59805299999999</v>
      </c>
      <c r="C1548">
        <v>-17.018934000000002</v>
      </c>
      <c r="D1548">
        <v>145.1</v>
      </c>
      <c r="E1548">
        <v>29.8</v>
      </c>
      <c r="F1548">
        <v>8.9499999999999993</v>
      </c>
    </row>
    <row r="1549" spans="1:6" x14ac:dyDescent="0.2">
      <c r="A1549">
        <v>736787.6202</v>
      </c>
      <c r="B1549">
        <v>-149.598071</v>
      </c>
      <c r="C1549">
        <v>-17.018916000000001</v>
      </c>
      <c r="D1549">
        <v>145.1</v>
      </c>
      <c r="E1549">
        <v>29.8</v>
      </c>
      <c r="F1549">
        <v>8.9499999999999993</v>
      </c>
    </row>
    <row r="1550" spans="1:6" x14ac:dyDescent="0.2">
      <c r="A1550">
        <v>736787.6202</v>
      </c>
      <c r="B1550">
        <v>-149.598085</v>
      </c>
      <c r="C1550">
        <v>-17.018906000000001</v>
      </c>
      <c r="D1550">
        <v>145.1</v>
      </c>
      <c r="E1550">
        <v>29.8</v>
      </c>
      <c r="F1550">
        <v>8.9499999999999993</v>
      </c>
    </row>
    <row r="1551" spans="1:6" x14ac:dyDescent="0.2">
      <c r="A1551">
        <v>736787.6202</v>
      </c>
      <c r="B1551">
        <v>-149.598096</v>
      </c>
      <c r="C1551">
        <v>-17.018902000000001</v>
      </c>
      <c r="D1551">
        <v>145.1</v>
      </c>
      <c r="E1551">
        <v>29.8</v>
      </c>
      <c r="F1551">
        <v>8.9499999999999993</v>
      </c>
    </row>
    <row r="1552" spans="1:6" x14ac:dyDescent="0.2">
      <c r="A1552">
        <v>736787.62029999995</v>
      </c>
      <c r="B1552">
        <v>-149.598108</v>
      </c>
      <c r="C1552">
        <v>-17.018901</v>
      </c>
      <c r="D1552">
        <v>143.916001110434</v>
      </c>
      <c r="E1552">
        <v>29.8</v>
      </c>
      <c r="F1552">
        <v>8.8869600666260293</v>
      </c>
    </row>
    <row r="1553" spans="1:6" x14ac:dyDescent="0.2">
      <c r="A1553">
        <v>736787.62029999995</v>
      </c>
      <c r="B1553">
        <v>-149.59811999999999</v>
      </c>
      <c r="C1553">
        <v>-17.018898</v>
      </c>
      <c r="D1553">
        <v>143.916001110434</v>
      </c>
      <c r="E1553">
        <v>29.8</v>
      </c>
      <c r="F1553">
        <v>8.8869600666260293</v>
      </c>
    </row>
    <row r="1554" spans="1:6" x14ac:dyDescent="0.2">
      <c r="A1554">
        <v>736787.62029999995</v>
      </c>
      <c r="B1554">
        <v>-149.59813700000001</v>
      </c>
      <c r="C1554">
        <v>-17.018903000000002</v>
      </c>
      <c r="D1554">
        <v>143.916001110434</v>
      </c>
      <c r="E1554">
        <v>29.8</v>
      </c>
      <c r="F1554">
        <v>8.8869600666260293</v>
      </c>
    </row>
    <row r="1555" spans="1:6" x14ac:dyDescent="0.2">
      <c r="A1555">
        <v>736787.62029999995</v>
      </c>
      <c r="B1555">
        <v>-149.59814700000001</v>
      </c>
      <c r="C1555">
        <v>-17.018899000000001</v>
      </c>
      <c r="D1555">
        <v>143.916001110434</v>
      </c>
      <c r="E1555">
        <v>29.8</v>
      </c>
      <c r="F1555">
        <v>8.8869600666260293</v>
      </c>
    </row>
    <row r="1556" spans="1:6" x14ac:dyDescent="0.2">
      <c r="A1556">
        <v>736787.62029999995</v>
      </c>
      <c r="B1556">
        <v>-149.59816499999999</v>
      </c>
      <c r="C1556">
        <v>-17.018894</v>
      </c>
      <c r="D1556">
        <v>143.916001110434</v>
      </c>
      <c r="E1556">
        <v>29.8</v>
      </c>
      <c r="F1556">
        <v>8.8869600666260293</v>
      </c>
    </row>
    <row r="1557" spans="1:6" x14ac:dyDescent="0.2">
      <c r="A1557">
        <v>736787.62040000001</v>
      </c>
      <c r="B1557">
        <v>-149.59818300000001</v>
      </c>
      <c r="C1557">
        <v>-17.018889999999999</v>
      </c>
      <c r="D1557">
        <v>142.19999999999999</v>
      </c>
      <c r="E1557">
        <v>29.8</v>
      </c>
      <c r="F1557">
        <v>8.7799999999999994</v>
      </c>
    </row>
    <row r="1558" spans="1:6" x14ac:dyDescent="0.2">
      <c r="A1558">
        <v>736787.62040000001</v>
      </c>
      <c r="B1558">
        <v>-149.59819400000001</v>
      </c>
      <c r="C1558">
        <v>-17.018888</v>
      </c>
      <c r="D1558">
        <v>142.19999999999999</v>
      </c>
      <c r="E1558">
        <v>29.8</v>
      </c>
      <c r="F1558">
        <v>8.7799999999999994</v>
      </c>
    </row>
    <row r="1559" spans="1:6" x14ac:dyDescent="0.2">
      <c r="A1559">
        <v>736787.62040000001</v>
      </c>
      <c r="B1559">
        <v>-149.59820500000001</v>
      </c>
      <c r="C1559">
        <v>-17.018885999999998</v>
      </c>
      <c r="D1559">
        <v>142.19999999999999</v>
      </c>
      <c r="E1559">
        <v>29.8</v>
      </c>
      <c r="F1559">
        <v>8.7799999999999994</v>
      </c>
    </row>
    <row r="1560" spans="1:6" x14ac:dyDescent="0.2">
      <c r="A1560">
        <v>736787.62040000001</v>
      </c>
      <c r="B1560">
        <v>-149.59821500000001</v>
      </c>
      <c r="C1560">
        <v>-17.018882999999999</v>
      </c>
      <c r="D1560">
        <v>142.19999999999999</v>
      </c>
      <c r="E1560">
        <v>29.8</v>
      </c>
      <c r="F1560">
        <v>8.7799999999999994</v>
      </c>
    </row>
    <row r="1561" spans="1:6" x14ac:dyDescent="0.2">
      <c r="A1561">
        <v>736787.62040000001</v>
      </c>
      <c r="B1561">
        <v>-149.59822500000001</v>
      </c>
      <c r="C1561">
        <v>-17.018882999999999</v>
      </c>
      <c r="D1561">
        <v>142.19999999999999</v>
      </c>
      <c r="E1561">
        <v>29.8</v>
      </c>
      <c r="F1561">
        <v>8.7799999999999994</v>
      </c>
    </row>
    <row r="1562" spans="1:6" x14ac:dyDescent="0.2">
      <c r="A1562">
        <v>736787.62040000001</v>
      </c>
      <c r="B1562">
        <v>-149.598241</v>
      </c>
      <c r="C1562">
        <v>-17.018881</v>
      </c>
      <c r="D1562">
        <v>142.19999999999999</v>
      </c>
      <c r="E1562">
        <v>29.8</v>
      </c>
      <c r="F1562">
        <v>8.7799999999999994</v>
      </c>
    </row>
    <row r="1563" spans="1:6" x14ac:dyDescent="0.2">
      <c r="A1563">
        <v>736787.62049999996</v>
      </c>
      <c r="B1563">
        <v>-149.59825699999999</v>
      </c>
      <c r="C1563">
        <v>-17.018878000000001</v>
      </c>
      <c r="D1563">
        <v>141.528000836849</v>
      </c>
      <c r="E1563">
        <v>29.8</v>
      </c>
      <c r="F1563">
        <v>8.7380000523030397</v>
      </c>
    </row>
    <row r="1564" spans="1:6" x14ac:dyDescent="0.2">
      <c r="A1564">
        <v>736787.62049999996</v>
      </c>
      <c r="B1564">
        <v>-149.59826699999999</v>
      </c>
      <c r="C1564">
        <v>-17.018872999999999</v>
      </c>
      <c r="D1564">
        <v>141.528000836849</v>
      </c>
      <c r="E1564">
        <v>29.8</v>
      </c>
      <c r="F1564">
        <v>8.7380000523030397</v>
      </c>
    </row>
    <row r="1565" spans="1:6" x14ac:dyDescent="0.2">
      <c r="A1565">
        <v>736787.62049999996</v>
      </c>
      <c r="B1565">
        <v>-149.59827899999999</v>
      </c>
      <c r="C1565">
        <v>-17.018867</v>
      </c>
      <c r="D1565">
        <v>141.528000836849</v>
      </c>
      <c r="E1565">
        <v>29.8</v>
      </c>
      <c r="F1565">
        <v>8.7380000523030397</v>
      </c>
    </row>
    <row r="1566" spans="1:6" x14ac:dyDescent="0.2">
      <c r="A1566">
        <v>736787.62049999996</v>
      </c>
      <c r="B1566">
        <v>-149.59828999999999</v>
      </c>
      <c r="C1566">
        <v>-17.018865000000002</v>
      </c>
      <c r="D1566">
        <v>141.528000836849</v>
      </c>
      <c r="E1566">
        <v>29.8</v>
      </c>
      <c r="F1566">
        <v>8.7380000523030397</v>
      </c>
    </row>
    <row r="1567" spans="1:6" x14ac:dyDescent="0.2">
      <c r="A1567">
        <v>736787.62049999996</v>
      </c>
      <c r="B1567">
        <v>-149.59829999999999</v>
      </c>
      <c r="C1567">
        <v>-17.018863</v>
      </c>
      <c r="D1567">
        <v>141.528000836849</v>
      </c>
      <c r="E1567">
        <v>29.8</v>
      </c>
      <c r="F1567">
        <v>8.7380000523030397</v>
      </c>
    </row>
    <row r="1568" spans="1:6" x14ac:dyDescent="0.2">
      <c r="A1568">
        <v>736787.62049999996</v>
      </c>
      <c r="B1568">
        <v>-149.59830700000001</v>
      </c>
      <c r="C1568">
        <v>-17.018856</v>
      </c>
      <c r="D1568">
        <v>141.528000836849</v>
      </c>
      <c r="E1568">
        <v>29.8</v>
      </c>
      <c r="F1568">
        <v>8.7380000523030397</v>
      </c>
    </row>
    <row r="1569" spans="1:6" x14ac:dyDescent="0.2">
      <c r="A1569">
        <v>736787.62049999996</v>
      </c>
      <c r="B1569">
        <v>-149.59831700000001</v>
      </c>
      <c r="C1569">
        <v>-17.018851000000002</v>
      </c>
      <c r="D1569">
        <v>141.528000836849</v>
      </c>
      <c r="E1569">
        <v>29.8</v>
      </c>
      <c r="F1569">
        <v>8.7380000523030397</v>
      </c>
    </row>
    <row r="1570" spans="1:6" x14ac:dyDescent="0.2">
      <c r="A1570">
        <v>736787.62049999996</v>
      </c>
      <c r="B1570">
        <v>-149.59833399999999</v>
      </c>
      <c r="C1570">
        <v>-17.018847000000001</v>
      </c>
      <c r="D1570">
        <v>141.528000836849</v>
      </c>
      <c r="E1570">
        <v>29.8</v>
      </c>
      <c r="F1570">
        <v>8.7380000523030397</v>
      </c>
    </row>
    <row r="1571" spans="1:6" x14ac:dyDescent="0.2">
      <c r="A1571">
        <v>736787.62060000002</v>
      </c>
      <c r="B1571">
        <v>-149.598344</v>
      </c>
      <c r="C1571">
        <v>-17.018837000000001</v>
      </c>
      <c r="D1571">
        <v>140.69999999999999</v>
      </c>
      <c r="E1571">
        <v>29.7</v>
      </c>
      <c r="F1571">
        <v>8.69</v>
      </c>
    </row>
    <row r="1572" spans="1:6" x14ac:dyDescent="0.2">
      <c r="A1572">
        <v>736787.62060000002</v>
      </c>
      <c r="B1572">
        <v>-149.598354</v>
      </c>
      <c r="C1572">
        <v>-17.018834999999999</v>
      </c>
      <c r="D1572">
        <v>140.69999999999999</v>
      </c>
      <c r="E1572">
        <v>29.7</v>
      </c>
      <c r="F1572">
        <v>8.69</v>
      </c>
    </row>
    <row r="1573" spans="1:6" x14ac:dyDescent="0.2">
      <c r="A1573">
        <v>736787.62060000002</v>
      </c>
      <c r="B1573">
        <v>-149.598365</v>
      </c>
      <c r="C1573">
        <v>-17.018832</v>
      </c>
      <c r="D1573">
        <v>140.69999999999999</v>
      </c>
      <c r="E1573">
        <v>29.7</v>
      </c>
      <c r="F1573">
        <v>8.69</v>
      </c>
    </row>
    <row r="1574" spans="1:6" x14ac:dyDescent="0.2">
      <c r="A1574">
        <v>736787.62060000002</v>
      </c>
      <c r="B1574">
        <v>-149.59837300000001</v>
      </c>
      <c r="C1574">
        <v>-17.018827999999999</v>
      </c>
      <c r="D1574">
        <v>140.69999999999999</v>
      </c>
      <c r="E1574">
        <v>29.7</v>
      </c>
      <c r="F1574">
        <v>8.69</v>
      </c>
    </row>
    <row r="1575" spans="1:6" x14ac:dyDescent="0.2">
      <c r="A1575">
        <v>736787.62060000002</v>
      </c>
      <c r="B1575">
        <v>-149.59838099999999</v>
      </c>
      <c r="C1575">
        <v>-17.018822</v>
      </c>
      <c r="D1575">
        <v>140.69999999999999</v>
      </c>
      <c r="E1575">
        <v>29.7</v>
      </c>
      <c r="F1575">
        <v>8.69</v>
      </c>
    </row>
    <row r="1576" spans="1:6" x14ac:dyDescent="0.2">
      <c r="A1576">
        <v>736787.62060000002</v>
      </c>
      <c r="B1576">
        <v>-149.598399</v>
      </c>
      <c r="C1576">
        <v>-17.018809999999998</v>
      </c>
      <c r="D1576">
        <v>140.69999999999999</v>
      </c>
      <c r="E1576">
        <v>29.7</v>
      </c>
      <c r="F1576">
        <v>8.69</v>
      </c>
    </row>
    <row r="1577" spans="1:6" x14ac:dyDescent="0.2">
      <c r="A1577">
        <v>736787.62060000002</v>
      </c>
      <c r="B1577">
        <v>-149.598409</v>
      </c>
      <c r="C1577">
        <v>-17.018809000000001</v>
      </c>
      <c r="D1577">
        <v>140.69999999999999</v>
      </c>
      <c r="E1577">
        <v>29.7</v>
      </c>
      <c r="F1577">
        <v>8.69</v>
      </c>
    </row>
    <row r="1578" spans="1:6" x14ac:dyDescent="0.2">
      <c r="A1578">
        <v>736787.62060000002</v>
      </c>
      <c r="B1578">
        <v>-149.598421</v>
      </c>
      <c r="C1578">
        <v>-17.018809999999998</v>
      </c>
      <c r="D1578">
        <v>140.69999999999999</v>
      </c>
      <c r="E1578">
        <v>29.7</v>
      </c>
      <c r="F1578">
        <v>8.69</v>
      </c>
    </row>
    <row r="1579" spans="1:6" x14ac:dyDescent="0.2">
      <c r="A1579">
        <v>736787.62069999997</v>
      </c>
      <c r="B1579">
        <v>-149.598432</v>
      </c>
      <c r="C1579">
        <v>-17.018810999999999</v>
      </c>
      <c r="D1579">
        <v>140.30400098168801</v>
      </c>
      <c r="E1579">
        <v>29.7</v>
      </c>
      <c r="F1579">
        <v>8.67224005890127</v>
      </c>
    </row>
    <row r="1580" spans="1:6" x14ac:dyDescent="0.2">
      <c r="A1580">
        <v>736787.62069999997</v>
      </c>
      <c r="B1580">
        <v>-149.598444</v>
      </c>
      <c r="C1580">
        <v>-17.018806000000001</v>
      </c>
      <c r="D1580">
        <v>140.30400098168801</v>
      </c>
      <c r="E1580">
        <v>29.7</v>
      </c>
      <c r="F1580">
        <v>8.67224005890127</v>
      </c>
    </row>
    <row r="1581" spans="1:6" x14ac:dyDescent="0.2">
      <c r="A1581">
        <v>736787.62069999997</v>
      </c>
      <c r="B1581">
        <v>-149.598457</v>
      </c>
      <c r="C1581">
        <v>-17.018802999999998</v>
      </c>
      <c r="D1581">
        <v>140.30400098168801</v>
      </c>
      <c r="E1581">
        <v>29.7</v>
      </c>
      <c r="F1581">
        <v>8.67224005890127</v>
      </c>
    </row>
    <row r="1582" spans="1:6" x14ac:dyDescent="0.2">
      <c r="A1582">
        <v>736787.62069999997</v>
      </c>
      <c r="B1582">
        <v>-149.59847400000001</v>
      </c>
      <c r="C1582">
        <v>-17.018802999999998</v>
      </c>
      <c r="D1582">
        <v>140.30400098168801</v>
      </c>
      <c r="E1582">
        <v>29.7</v>
      </c>
      <c r="F1582">
        <v>8.67224005890127</v>
      </c>
    </row>
    <row r="1583" spans="1:6" x14ac:dyDescent="0.2">
      <c r="A1583">
        <v>736787.62069999997</v>
      </c>
      <c r="B1583">
        <v>-149.59848700000001</v>
      </c>
      <c r="C1583">
        <v>-17.018798</v>
      </c>
      <c r="D1583">
        <v>140.30400098168801</v>
      </c>
      <c r="E1583">
        <v>29.7</v>
      </c>
      <c r="F1583">
        <v>8.67224005890127</v>
      </c>
    </row>
    <row r="1584" spans="1:6" x14ac:dyDescent="0.2">
      <c r="A1584">
        <v>736787.62069999997</v>
      </c>
      <c r="B1584">
        <v>-149.59850700000001</v>
      </c>
      <c r="C1584">
        <v>-17.018788000000001</v>
      </c>
      <c r="D1584">
        <v>140.30400098168801</v>
      </c>
      <c r="E1584">
        <v>29.7</v>
      </c>
      <c r="F1584">
        <v>8.67224005890127</v>
      </c>
    </row>
    <row r="1585" spans="1:6" x14ac:dyDescent="0.2">
      <c r="A1585">
        <v>736787.62080000003</v>
      </c>
      <c r="B1585">
        <v>-149.59852699999999</v>
      </c>
      <c r="C1585">
        <v>-17.018777</v>
      </c>
      <c r="D1585">
        <v>139.48319925649199</v>
      </c>
      <c r="E1585">
        <v>29.7</v>
      </c>
      <c r="F1585">
        <v>8.6287999468922898</v>
      </c>
    </row>
    <row r="1586" spans="1:6" x14ac:dyDescent="0.2">
      <c r="A1586">
        <v>736787.62080000003</v>
      </c>
      <c r="B1586">
        <v>-149.59854200000001</v>
      </c>
      <c r="C1586">
        <v>-17.018771000000001</v>
      </c>
      <c r="D1586">
        <v>139.48319925649199</v>
      </c>
      <c r="E1586">
        <v>29.7</v>
      </c>
      <c r="F1586">
        <v>8.6287999468922898</v>
      </c>
    </row>
    <row r="1587" spans="1:6" x14ac:dyDescent="0.2">
      <c r="A1587">
        <v>736787.62080000003</v>
      </c>
      <c r="B1587">
        <v>-149.598555</v>
      </c>
      <c r="C1587">
        <v>-17.018764000000001</v>
      </c>
      <c r="D1587">
        <v>139.48319925649199</v>
      </c>
      <c r="E1587">
        <v>29.7</v>
      </c>
      <c r="F1587">
        <v>8.6287999468922898</v>
      </c>
    </row>
    <row r="1588" spans="1:6" x14ac:dyDescent="0.2">
      <c r="A1588">
        <v>736787.62080000003</v>
      </c>
      <c r="B1588">
        <v>-149.59856199999999</v>
      </c>
      <c r="C1588">
        <v>-17.01876</v>
      </c>
      <c r="D1588">
        <v>139.48319925649199</v>
      </c>
      <c r="E1588">
        <v>29.7</v>
      </c>
      <c r="F1588">
        <v>8.6287999468922898</v>
      </c>
    </row>
    <row r="1589" spans="1:6" x14ac:dyDescent="0.2">
      <c r="A1589">
        <v>736787.62080000003</v>
      </c>
      <c r="B1589">
        <v>-149.59857500000001</v>
      </c>
      <c r="C1589">
        <v>-17.018751999999999</v>
      </c>
      <c r="D1589">
        <v>139.48319925649199</v>
      </c>
      <c r="E1589">
        <v>29.7</v>
      </c>
      <c r="F1589">
        <v>8.6287999468922898</v>
      </c>
    </row>
    <row r="1590" spans="1:6" x14ac:dyDescent="0.2">
      <c r="A1590">
        <v>736787.62089999998</v>
      </c>
      <c r="B1590">
        <v>-149.59858399999999</v>
      </c>
      <c r="C1590">
        <v>-17.018742</v>
      </c>
      <c r="D1590">
        <v>138.64960018346301</v>
      </c>
      <c r="E1590">
        <v>29.7</v>
      </c>
      <c r="F1590">
        <v>8.5724800091731499</v>
      </c>
    </row>
    <row r="1591" spans="1:6" x14ac:dyDescent="0.2">
      <c r="A1591">
        <v>736787.62089999998</v>
      </c>
      <c r="B1591">
        <v>-149.59859599999999</v>
      </c>
      <c r="C1591">
        <v>-17.018732</v>
      </c>
      <c r="D1591">
        <v>138.64960018346301</v>
      </c>
      <c r="E1591">
        <v>29.7</v>
      </c>
      <c r="F1591">
        <v>8.5724800091731499</v>
      </c>
    </row>
    <row r="1592" spans="1:6" x14ac:dyDescent="0.2">
      <c r="A1592">
        <v>736787.62089999998</v>
      </c>
      <c r="B1592">
        <v>-149.59861000000001</v>
      </c>
      <c r="C1592">
        <v>-17.018723999999999</v>
      </c>
      <c r="D1592">
        <v>138.64960018346301</v>
      </c>
      <c r="E1592">
        <v>29.7</v>
      </c>
      <c r="F1592">
        <v>8.5724800091731499</v>
      </c>
    </row>
    <row r="1593" spans="1:6" x14ac:dyDescent="0.2">
      <c r="A1593">
        <v>736787.62089999998</v>
      </c>
      <c r="B1593">
        <v>-149.59861699999999</v>
      </c>
      <c r="C1593">
        <v>-17.018718</v>
      </c>
      <c r="D1593">
        <v>138.64960018346301</v>
      </c>
      <c r="E1593">
        <v>29.7</v>
      </c>
      <c r="F1593">
        <v>8.5724800091731499</v>
      </c>
    </row>
    <row r="1594" spans="1:6" x14ac:dyDescent="0.2">
      <c r="A1594">
        <v>736787.62089999998</v>
      </c>
      <c r="B1594">
        <v>-149.598624</v>
      </c>
      <c r="C1594">
        <v>-17.018708</v>
      </c>
      <c r="D1594">
        <v>138.64960018346301</v>
      </c>
      <c r="E1594">
        <v>29.7</v>
      </c>
      <c r="F1594">
        <v>8.5724800091731499</v>
      </c>
    </row>
    <row r="1595" spans="1:6" x14ac:dyDescent="0.2">
      <c r="A1595">
        <v>736787.62089999998</v>
      </c>
      <c r="B1595">
        <v>-149.59863899999999</v>
      </c>
      <c r="C1595">
        <v>-17.018704</v>
      </c>
      <c r="D1595">
        <v>138.64960018346301</v>
      </c>
      <c r="E1595">
        <v>29.7</v>
      </c>
      <c r="F1595">
        <v>8.5724800091731499</v>
      </c>
    </row>
    <row r="1596" spans="1:6" x14ac:dyDescent="0.2">
      <c r="A1596">
        <v>736787.62100000004</v>
      </c>
      <c r="B1596">
        <v>-149.598646</v>
      </c>
      <c r="C1596">
        <v>-17.018698000000001</v>
      </c>
      <c r="D1596">
        <v>138.26399921143101</v>
      </c>
      <c r="E1596">
        <v>29.6</v>
      </c>
      <c r="F1596">
        <v>8.5559999436736405</v>
      </c>
    </row>
    <row r="1597" spans="1:6" x14ac:dyDescent="0.2">
      <c r="A1597">
        <v>736787.62100000004</v>
      </c>
      <c r="B1597">
        <v>-149.59866500000001</v>
      </c>
      <c r="C1597">
        <v>-17.018695999999998</v>
      </c>
      <c r="D1597">
        <v>138.26399921143101</v>
      </c>
      <c r="E1597">
        <v>29.6</v>
      </c>
      <c r="F1597">
        <v>8.5559999436736405</v>
      </c>
    </row>
    <row r="1598" spans="1:6" x14ac:dyDescent="0.2">
      <c r="A1598">
        <v>736787.62100000004</v>
      </c>
      <c r="B1598">
        <v>-149.59867600000001</v>
      </c>
      <c r="C1598">
        <v>-17.018695999999998</v>
      </c>
      <c r="D1598">
        <v>138.26399921143101</v>
      </c>
      <c r="E1598">
        <v>29.6</v>
      </c>
      <c r="F1598">
        <v>8.5559999436736405</v>
      </c>
    </row>
    <row r="1599" spans="1:6" x14ac:dyDescent="0.2">
      <c r="A1599">
        <v>736787.62100000004</v>
      </c>
      <c r="B1599">
        <v>-149.59868499999999</v>
      </c>
      <c r="C1599">
        <v>-17.018692000000001</v>
      </c>
      <c r="D1599">
        <v>138.26399921143101</v>
      </c>
      <c r="E1599">
        <v>29.6</v>
      </c>
      <c r="F1599">
        <v>8.5559999436736405</v>
      </c>
    </row>
    <row r="1600" spans="1:6" x14ac:dyDescent="0.2">
      <c r="A1600">
        <v>736787.62100000004</v>
      </c>
      <c r="B1600">
        <v>-149.59869499999999</v>
      </c>
      <c r="C1600">
        <v>-17.018688000000001</v>
      </c>
      <c r="D1600">
        <v>138.26399921143101</v>
      </c>
      <c r="E1600">
        <v>29.6</v>
      </c>
      <c r="F1600">
        <v>8.5559999436736405</v>
      </c>
    </row>
    <row r="1601" spans="1:6" x14ac:dyDescent="0.2">
      <c r="A1601">
        <v>736787.62100000004</v>
      </c>
      <c r="B1601">
        <v>-149.598705</v>
      </c>
      <c r="C1601">
        <v>-17.018685999999999</v>
      </c>
      <c r="D1601">
        <v>138.26399921143101</v>
      </c>
      <c r="E1601">
        <v>29.6</v>
      </c>
      <c r="F1601">
        <v>8.5559999436736405</v>
      </c>
    </row>
    <row r="1602" spans="1:6" x14ac:dyDescent="0.2">
      <c r="A1602">
        <v>736787.62109999999</v>
      </c>
      <c r="B1602">
        <v>-149.59872200000001</v>
      </c>
      <c r="C1602">
        <v>-17.018678000000001</v>
      </c>
      <c r="D1602">
        <v>137.41680017380699</v>
      </c>
      <c r="E1602">
        <v>29.6</v>
      </c>
      <c r="F1602">
        <v>8.5058400086903703</v>
      </c>
    </row>
    <row r="1603" spans="1:6" x14ac:dyDescent="0.2">
      <c r="A1603">
        <v>736787.62109999999</v>
      </c>
      <c r="B1603">
        <v>-149.59873300000001</v>
      </c>
      <c r="C1603">
        <v>-17.018675999999999</v>
      </c>
      <c r="D1603">
        <v>137.41680017380699</v>
      </c>
      <c r="E1603">
        <v>29.6</v>
      </c>
      <c r="F1603">
        <v>8.5058400086903703</v>
      </c>
    </row>
    <row r="1604" spans="1:6" x14ac:dyDescent="0.2">
      <c r="A1604">
        <v>736787.62109999999</v>
      </c>
      <c r="B1604">
        <v>-149.59875</v>
      </c>
      <c r="C1604">
        <v>-17.018668000000002</v>
      </c>
      <c r="D1604">
        <v>137.41680017380699</v>
      </c>
      <c r="E1604">
        <v>29.6</v>
      </c>
      <c r="F1604">
        <v>8.5058400086903703</v>
      </c>
    </row>
    <row r="1605" spans="1:6" x14ac:dyDescent="0.2">
      <c r="A1605">
        <v>736787.62109999999</v>
      </c>
      <c r="B1605">
        <v>-149.598761</v>
      </c>
      <c r="C1605">
        <v>-17.018660000000001</v>
      </c>
      <c r="D1605">
        <v>137.41680017380699</v>
      </c>
      <c r="E1605">
        <v>29.6</v>
      </c>
      <c r="F1605">
        <v>8.5058400086903703</v>
      </c>
    </row>
    <row r="1606" spans="1:6" x14ac:dyDescent="0.2">
      <c r="A1606">
        <v>736787.62109999999</v>
      </c>
      <c r="B1606">
        <v>-149.59877399999999</v>
      </c>
      <c r="C1606">
        <v>-17.018647999999999</v>
      </c>
      <c r="D1606">
        <v>137.41680017380699</v>
      </c>
      <c r="E1606">
        <v>29.6</v>
      </c>
      <c r="F1606">
        <v>8.5058400086903703</v>
      </c>
    </row>
    <row r="1607" spans="1:6" x14ac:dyDescent="0.2">
      <c r="A1607">
        <v>736787.62109999999</v>
      </c>
      <c r="B1607">
        <v>-149.59877800000001</v>
      </c>
      <c r="C1607">
        <v>-17.018640000000001</v>
      </c>
      <c r="D1607">
        <v>137.41680017380699</v>
      </c>
      <c r="E1607">
        <v>29.6</v>
      </c>
      <c r="F1607">
        <v>8.5058400086903703</v>
      </c>
    </row>
    <row r="1608" spans="1:6" x14ac:dyDescent="0.2">
      <c r="A1608">
        <v>736787.62109999999</v>
      </c>
      <c r="B1608">
        <v>-149.59879100000001</v>
      </c>
      <c r="C1608">
        <v>-17.018636000000001</v>
      </c>
      <c r="D1608">
        <v>137.41680017380699</v>
      </c>
      <c r="E1608">
        <v>29.6</v>
      </c>
      <c r="F1608">
        <v>8.5058400086903703</v>
      </c>
    </row>
    <row r="1609" spans="1:6" x14ac:dyDescent="0.2">
      <c r="A1609">
        <v>736787.62120000005</v>
      </c>
      <c r="B1609">
        <v>-149.59880699999999</v>
      </c>
      <c r="C1609">
        <v>-17.018630000000002</v>
      </c>
      <c r="D1609">
        <v>137.1</v>
      </c>
      <c r="E1609">
        <v>29.6</v>
      </c>
      <c r="F1609">
        <v>8.4806399880909993</v>
      </c>
    </row>
    <row r="1610" spans="1:6" x14ac:dyDescent="0.2">
      <c r="A1610">
        <v>736787.62120000005</v>
      </c>
      <c r="B1610">
        <v>-149.598816</v>
      </c>
      <c r="C1610">
        <v>-17.018626000000001</v>
      </c>
      <c r="D1610">
        <v>137.1</v>
      </c>
      <c r="E1610">
        <v>29.6</v>
      </c>
      <c r="F1610">
        <v>8.4806399880909993</v>
      </c>
    </row>
    <row r="1611" spans="1:6" x14ac:dyDescent="0.2">
      <c r="A1611">
        <v>736787.62120000005</v>
      </c>
      <c r="B1611">
        <v>-149.598826</v>
      </c>
      <c r="C1611">
        <v>-17.018619999999999</v>
      </c>
      <c r="D1611">
        <v>137.1</v>
      </c>
      <c r="E1611">
        <v>29.6</v>
      </c>
      <c r="F1611">
        <v>8.4806399880909993</v>
      </c>
    </row>
    <row r="1612" spans="1:6" x14ac:dyDescent="0.2">
      <c r="A1612">
        <v>736787.62120000005</v>
      </c>
      <c r="B1612">
        <v>-149.59883500000001</v>
      </c>
      <c r="C1612">
        <v>-17.018616000000002</v>
      </c>
      <c r="D1612">
        <v>137.1</v>
      </c>
      <c r="E1612">
        <v>29.6</v>
      </c>
      <c r="F1612">
        <v>8.4806399880909993</v>
      </c>
    </row>
    <row r="1613" spans="1:6" x14ac:dyDescent="0.2">
      <c r="A1613">
        <v>736787.62120000005</v>
      </c>
      <c r="B1613">
        <v>-149.59884600000001</v>
      </c>
      <c r="C1613">
        <v>-17.018612000000001</v>
      </c>
      <c r="D1613">
        <v>137.1</v>
      </c>
      <c r="E1613">
        <v>29.6</v>
      </c>
      <c r="F1613">
        <v>8.4806399880909993</v>
      </c>
    </row>
    <row r="1614" spans="1:6" x14ac:dyDescent="0.2">
      <c r="A1614">
        <v>736787.62120000005</v>
      </c>
      <c r="B1614">
        <v>-149.59886299999999</v>
      </c>
      <c r="C1614">
        <v>-17.018609999999999</v>
      </c>
      <c r="D1614">
        <v>137.1</v>
      </c>
      <c r="E1614">
        <v>29.6</v>
      </c>
      <c r="F1614">
        <v>8.4806399880909993</v>
      </c>
    </row>
    <row r="1615" spans="1:6" x14ac:dyDescent="0.2">
      <c r="A1615">
        <v>736787.6213</v>
      </c>
      <c r="B1615">
        <v>-149.598873</v>
      </c>
      <c r="C1615">
        <v>-17.018608</v>
      </c>
      <c r="D1615">
        <v>137.46719989056601</v>
      </c>
      <c r="E1615">
        <v>29.6</v>
      </c>
      <c r="F1615">
        <v>8.5133599945282903</v>
      </c>
    </row>
    <row r="1616" spans="1:6" x14ac:dyDescent="0.2">
      <c r="A1616">
        <v>736787.6213</v>
      </c>
      <c r="B1616">
        <v>-149.598883</v>
      </c>
      <c r="C1616">
        <v>-17.018608</v>
      </c>
      <c r="D1616">
        <v>137.46719989056601</v>
      </c>
      <c r="E1616">
        <v>29.6</v>
      </c>
      <c r="F1616">
        <v>8.5133599945282903</v>
      </c>
    </row>
    <row r="1617" spans="1:6" x14ac:dyDescent="0.2">
      <c r="A1617">
        <v>736787.6213</v>
      </c>
      <c r="B1617">
        <v>-149.59889699999999</v>
      </c>
      <c r="C1617">
        <v>-17.018598000000001</v>
      </c>
      <c r="D1617">
        <v>137.46719989056601</v>
      </c>
      <c r="E1617">
        <v>29.6</v>
      </c>
      <c r="F1617">
        <v>8.5133599945282903</v>
      </c>
    </row>
    <row r="1618" spans="1:6" x14ac:dyDescent="0.2">
      <c r="A1618">
        <v>736787.6213</v>
      </c>
      <c r="B1618">
        <v>-149.59891500000001</v>
      </c>
      <c r="C1618">
        <v>-17.018595999999999</v>
      </c>
      <c r="D1618">
        <v>137.46719989056601</v>
      </c>
      <c r="E1618">
        <v>29.6</v>
      </c>
      <c r="F1618">
        <v>8.5133599945282903</v>
      </c>
    </row>
    <row r="1619" spans="1:6" x14ac:dyDescent="0.2">
      <c r="A1619">
        <v>736787.6213</v>
      </c>
      <c r="B1619">
        <v>-149.59892600000001</v>
      </c>
      <c r="C1619">
        <v>-17.018594</v>
      </c>
      <c r="D1619">
        <v>137.46719989056601</v>
      </c>
      <c r="E1619">
        <v>29.6</v>
      </c>
      <c r="F1619">
        <v>8.5133599945282903</v>
      </c>
    </row>
    <row r="1620" spans="1:6" x14ac:dyDescent="0.2">
      <c r="A1620">
        <v>736787.62139999995</v>
      </c>
      <c r="B1620">
        <v>-149.598939</v>
      </c>
      <c r="C1620">
        <v>-17.018585999999999</v>
      </c>
      <c r="D1620">
        <v>137.282400226915</v>
      </c>
      <c r="E1620">
        <v>29.6</v>
      </c>
      <c r="F1620">
        <v>8.5021600151276502</v>
      </c>
    </row>
    <row r="1621" spans="1:6" x14ac:dyDescent="0.2">
      <c r="A1621">
        <v>736787.62139999995</v>
      </c>
      <c r="B1621">
        <v>-149.59894800000001</v>
      </c>
      <c r="C1621">
        <v>-17.018575999999999</v>
      </c>
      <c r="D1621">
        <v>137.282400226915</v>
      </c>
      <c r="E1621">
        <v>29.6</v>
      </c>
      <c r="F1621">
        <v>8.5021600151276502</v>
      </c>
    </row>
    <row r="1622" spans="1:6" x14ac:dyDescent="0.2">
      <c r="A1622">
        <v>736787.62139999995</v>
      </c>
      <c r="B1622">
        <v>-149.59895599999999</v>
      </c>
      <c r="C1622">
        <v>-17.018567999999998</v>
      </c>
      <c r="D1622">
        <v>137.282400226915</v>
      </c>
      <c r="E1622">
        <v>29.6</v>
      </c>
      <c r="F1622">
        <v>8.5021600151276502</v>
      </c>
    </row>
    <row r="1623" spans="1:6" x14ac:dyDescent="0.2">
      <c r="A1623">
        <v>736787.62139999995</v>
      </c>
      <c r="B1623">
        <v>-149.598973</v>
      </c>
      <c r="C1623">
        <v>-17.018564000000001</v>
      </c>
      <c r="D1623">
        <v>137.282400226915</v>
      </c>
      <c r="E1623">
        <v>29.6</v>
      </c>
      <c r="F1623">
        <v>8.5021600151276502</v>
      </c>
    </row>
    <row r="1624" spans="1:6" x14ac:dyDescent="0.2">
      <c r="A1624">
        <v>736787.62139999995</v>
      </c>
      <c r="B1624">
        <v>-149.59898799999999</v>
      </c>
      <c r="C1624">
        <v>-17.018557999999999</v>
      </c>
      <c r="D1624">
        <v>137.282400226915</v>
      </c>
      <c r="E1624">
        <v>29.6</v>
      </c>
      <c r="F1624">
        <v>8.5021600151276502</v>
      </c>
    </row>
    <row r="1625" spans="1:6" x14ac:dyDescent="0.2">
      <c r="A1625">
        <v>736787.62150000001</v>
      </c>
      <c r="B1625">
        <v>-149.59899899999999</v>
      </c>
      <c r="C1625">
        <v>-17.018554000000002</v>
      </c>
      <c r="D1625">
        <v>136.19999999999999</v>
      </c>
      <c r="E1625">
        <v>29.6</v>
      </c>
      <c r="F1625">
        <v>8.44</v>
      </c>
    </row>
    <row r="1626" spans="1:6" x14ac:dyDescent="0.2">
      <c r="A1626">
        <v>736787.62150000001</v>
      </c>
      <c r="B1626">
        <v>-149.59901099999999</v>
      </c>
      <c r="C1626">
        <v>-17.018557999999999</v>
      </c>
      <c r="D1626">
        <v>136.19999999999999</v>
      </c>
      <c r="E1626">
        <v>29.6</v>
      </c>
      <c r="F1626">
        <v>8.44</v>
      </c>
    </row>
    <row r="1627" spans="1:6" x14ac:dyDescent="0.2">
      <c r="A1627">
        <v>736787.62150000001</v>
      </c>
      <c r="B1627">
        <v>-149.599019</v>
      </c>
      <c r="C1627">
        <v>-17.018552</v>
      </c>
      <c r="D1627">
        <v>136.19999999999999</v>
      </c>
      <c r="E1627">
        <v>29.6</v>
      </c>
      <c r="F1627">
        <v>8.44</v>
      </c>
    </row>
    <row r="1628" spans="1:6" x14ac:dyDescent="0.2">
      <c r="A1628">
        <v>736787.62150000001</v>
      </c>
      <c r="B1628">
        <v>-149.59902600000001</v>
      </c>
      <c r="C1628">
        <v>-17.018547000000002</v>
      </c>
      <c r="D1628">
        <v>136.19999999999999</v>
      </c>
      <c r="E1628">
        <v>29.6</v>
      </c>
      <c r="F1628">
        <v>8.44</v>
      </c>
    </row>
    <row r="1629" spans="1:6" x14ac:dyDescent="0.2">
      <c r="A1629">
        <v>736787.62150000001</v>
      </c>
      <c r="B1629">
        <v>-149.59903800000001</v>
      </c>
      <c r="C1629">
        <v>-17.018536999999998</v>
      </c>
      <c r="D1629">
        <v>136.19999999999999</v>
      </c>
      <c r="E1629">
        <v>29.6</v>
      </c>
      <c r="F1629">
        <v>8.44</v>
      </c>
    </row>
    <row r="1630" spans="1:6" x14ac:dyDescent="0.2">
      <c r="A1630">
        <v>736787.62159999995</v>
      </c>
      <c r="B1630">
        <v>-149.59904299999999</v>
      </c>
      <c r="C1630">
        <v>-17.018522999999998</v>
      </c>
      <c r="D1630">
        <v>136.030400138402</v>
      </c>
      <c r="E1630">
        <v>29.6</v>
      </c>
      <c r="F1630">
        <v>8.4315200069201008</v>
      </c>
    </row>
    <row r="1631" spans="1:6" x14ac:dyDescent="0.2">
      <c r="A1631">
        <v>736787.62159999995</v>
      </c>
      <c r="B1631">
        <v>-149.599053</v>
      </c>
      <c r="C1631">
        <v>-17.018509000000002</v>
      </c>
      <c r="D1631">
        <v>136.030400138402</v>
      </c>
      <c r="E1631">
        <v>29.6</v>
      </c>
      <c r="F1631">
        <v>8.4315200069201008</v>
      </c>
    </row>
    <row r="1632" spans="1:6" x14ac:dyDescent="0.2">
      <c r="A1632">
        <v>736787.62159999995</v>
      </c>
      <c r="B1632">
        <v>-149.59905800000001</v>
      </c>
      <c r="C1632">
        <v>-17.018498000000001</v>
      </c>
      <c r="D1632">
        <v>136.030400138402</v>
      </c>
      <c r="E1632">
        <v>29.6</v>
      </c>
      <c r="F1632">
        <v>8.4315200069201008</v>
      </c>
    </row>
    <row r="1633" spans="1:6" x14ac:dyDescent="0.2">
      <c r="A1633">
        <v>736787.62159999995</v>
      </c>
      <c r="B1633">
        <v>-149.599062</v>
      </c>
      <c r="C1633">
        <v>-17.018488000000001</v>
      </c>
      <c r="D1633">
        <v>136.030400138402</v>
      </c>
      <c r="E1633">
        <v>29.6</v>
      </c>
      <c r="F1633">
        <v>8.4315200069201008</v>
      </c>
    </row>
    <row r="1634" spans="1:6" x14ac:dyDescent="0.2">
      <c r="A1634">
        <v>736787.62170000002</v>
      </c>
      <c r="B1634">
        <v>-149.59907799999999</v>
      </c>
      <c r="C1634">
        <v>-17.018481000000001</v>
      </c>
      <c r="D1634">
        <v>135.85760004988899</v>
      </c>
      <c r="E1634">
        <v>29.6</v>
      </c>
      <c r="F1634">
        <v>8.42</v>
      </c>
    </row>
    <row r="1635" spans="1:6" x14ac:dyDescent="0.2">
      <c r="A1635">
        <v>736787.62170000002</v>
      </c>
      <c r="B1635">
        <v>-149.59909500000001</v>
      </c>
      <c r="C1635">
        <v>-17.018474000000001</v>
      </c>
      <c r="D1635">
        <v>135.85760004988899</v>
      </c>
      <c r="E1635">
        <v>29.6</v>
      </c>
      <c r="F1635">
        <v>8.42</v>
      </c>
    </row>
    <row r="1636" spans="1:6" x14ac:dyDescent="0.2">
      <c r="A1636">
        <v>736787.62170000002</v>
      </c>
      <c r="B1636">
        <v>-149.59911099999999</v>
      </c>
      <c r="C1636">
        <v>-17.018466</v>
      </c>
      <c r="D1636">
        <v>135.85760004988899</v>
      </c>
      <c r="E1636">
        <v>29.6</v>
      </c>
      <c r="F1636">
        <v>8.42</v>
      </c>
    </row>
    <row r="1637" spans="1:6" x14ac:dyDescent="0.2">
      <c r="A1637">
        <v>736787.62170000002</v>
      </c>
      <c r="B1637">
        <v>-149.59912199999999</v>
      </c>
      <c r="C1637">
        <v>-17.018462</v>
      </c>
      <c r="D1637">
        <v>135.85760004988899</v>
      </c>
      <c r="E1637">
        <v>29.6</v>
      </c>
      <c r="F1637">
        <v>8.42</v>
      </c>
    </row>
    <row r="1638" spans="1:6" x14ac:dyDescent="0.2">
      <c r="A1638">
        <v>736787.62170000002</v>
      </c>
      <c r="B1638">
        <v>-149.599132</v>
      </c>
      <c r="C1638">
        <v>-17.018459</v>
      </c>
      <c r="D1638">
        <v>135.85760004988899</v>
      </c>
      <c r="E1638">
        <v>29.6</v>
      </c>
      <c r="F1638">
        <v>8.42</v>
      </c>
    </row>
    <row r="1639" spans="1:6" x14ac:dyDescent="0.2">
      <c r="A1639">
        <v>736787.62179999996</v>
      </c>
      <c r="B1639">
        <v>-149.59914599999999</v>
      </c>
      <c r="C1639">
        <v>-17.018453000000001</v>
      </c>
      <c r="D1639">
        <v>136.22159974894501</v>
      </c>
      <c r="E1639">
        <v>29.6</v>
      </c>
      <c r="F1639">
        <v>8.4391199811709008</v>
      </c>
    </row>
    <row r="1640" spans="1:6" x14ac:dyDescent="0.2">
      <c r="A1640">
        <v>736787.62179999996</v>
      </c>
      <c r="B1640">
        <v>-149.59915899999999</v>
      </c>
      <c r="C1640">
        <v>-17.018446999999998</v>
      </c>
      <c r="D1640">
        <v>136.22159974894501</v>
      </c>
      <c r="E1640">
        <v>29.6</v>
      </c>
      <c r="F1640">
        <v>8.4391199811709008</v>
      </c>
    </row>
    <row r="1641" spans="1:6" x14ac:dyDescent="0.2">
      <c r="A1641">
        <v>736787.62179999996</v>
      </c>
      <c r="B1641">
        <v>-149.59916999999999</v>
      </c>
      <c r="C1641">
        <v>-17.018436000000001</v>
      </c>
      <c r="D1641">
        <v>136.22159974894501</v>
      </c>
      <c r="E1641">
        <v>29.6</v>
      </c>
      <c r="F1641">
        <v>8.4391199811709008</v>
      </c>
    </row>
    <row r="1642" spans="1:6" x14ac:dyDescent="0.2">
      <c r="A1642">
        <v>736787.62179999996</v>
      </c>
      <c r="B1642">
        <v>-149.599175</v>
      </c>
      <c r="C1642">
        <v>-17.018422999999999</v>
      </c>
      <c r="D1642">
        <v>136.22159974894501</v>
      </c>
      <c r="E1642">
        <v>29.6</v>
      </c>
      <c r="F1642">
        <v>8.4391199811709008</v>
      </c>
    </row>
    <row r="1643" spans="1:6" x14ac:dyDescent="0.2">
      <c r="A1643">
        <v>736787.62190000003</v>
      </c>
      <c r="B1643">
        <v>-149.59918500000001</v>
      </c>
      <c r="C1643">
        <v>-17.018412999999999</v>
      </c>
      <c r="D1643">
        <v>136.5</v>
      </c>
      <c r="E1643">
        <v>29.6</v>
      </c>
      <c r="F1643">
        <v>8.4600000000000009</v>
      </c>
    </row>
    <row r="1644" spans="1:6" x14ac:dyDescent="0.2">
      <c r="A1644">
        <v>736787.62190000003</v>
      </c>
      <c r="B1644">
        <v>-149.599197</v>
      </c>
      <c r="C1644">
        <v>-17.018402999999999</v>
      </c>
      <c r="D1644">
        <v>136.5</v>
      </c>
      <c r="E1644">
        <v>29.6</v>
      </c>
      <c r="F1644">
        <v>8.4600000000000009</v>
      </c>
    </row>
    <row r="1645" spans="1:6" x14ac:dyDescent="0.2">
      <c r="A1645">
        <v>736787.62190000003</v>
      </c>
      <c r="B1645">
        <v>-149.59920600000001</v>
      </c>
      <c r="C1645">
        <v>-17.018387000000001</v>
      </c>
      <c r="D1645">
        <v>136.5</v>
      </c>
      <c r="E1645">
        <v>29.6</v>
      </c>
      <c r="F1645">
        <v>8.4600000000000009</v>
      </c>
    </row>
    <row r="1646" spans="1:6" x14ac:dyDescent="0.2">
      <c r="A1646">
        <v>736787.62190000003</v>
      </c>
      <c r="B1646">
        <v>-149.599221</v>
      </c>
      <c r="C1646">
        <v>-17.018384999999999</v>
      </c>
      <c r="D1646">
        <v>136.5</v>
      </c>
      <c r="E1646">
        <v>29.6</v>
      </c>
      <c r="F1646">
        <v>8.4600000000000009</v>
      </c>
    </row>
    <row r="1647" spans="1:6" x14ac:dyDescent="0.2">
      <c r="A1647">
        <v>736787.62190000003</v>
      </c>
      <c r="B1647">
        <v>-149.59922900000001</v>
      </c>
      <c r="C1647">
        <v>-17.018376</v>
      </c>
      <c r="D1647">
        <v>136.5</v>
      </c>
      <c r="E1647">
        <v>29.6</v>
      </c>
      <c r="F1647">
        <v>8.4600000000000009</v>
      </c>
    </row>
    <row r="1648" spans="1:6" x14ac:dyDescent="0.2">
      <c r="A1648">
        <v>736787.62199999997</v>
      </c>
      <c r="B1648">
        <v>-149.599244</v>
      </c>
      <c r="C1648">
        <v>-17.018367000000001</v>
      </c>
      <c r="D1648">
        <v>136.5</v>
      </c>
      <c r="E1648">
        <v>29.6</v>
      </c>
      <c r="F1648">
        <v>8.4600000000000009</v>
      </c>
    </row>
    <row r="1649" spans="1:6" x14ac:dyDescent="0.2">
      <c r="A1649">
        <v>736787.62199999997</v>
      </c>
      <c r="B1649">
        <v>-149.599253</v>
      </c>
      <c r="C1649">
        <v>-17.018357999999999</v>
      </c>
      <c r="D1649">
        <v>136.5</v>
      </c>
      <c r="E1649">
        <v>29.6</v>
      </c>
      <c r="F1649">
        <v>8.4600000000000009</v>
      </c>
    </row>
    <row r="1650" spans="1:6" x14ac:dyDescent="0.2">
      <c r="A1650">
        <v>736787.62199999997</v>
      </c>
      <c r="B1650">
        <v>-149.59926400000001</v>
      </c>
      <c r="C1650">
        <v>-17.018352</v>
      </c>
      <c r="D1650">
        <v>136.5</v>
      </c>
      <c r="E1650">
        <v>29.6</v>
      </c>
      <c r="F1650">
        <v>8.4600000000000009</v>
      </c>
    </row>
    <row r="1651" spans="1:6" x14ac:dyDescent="0.2">
      <c r="A1651">
        <v>736787.62199999997</v>
      </c>
      <c r="B1651">
        <v>-149.59927400000001</v>
      </c>
      <c r="C1651">
        <v>-17.018350000000002</v>
      </c>
      <c r="D1651">
        <v>136.5</v>
      </c>
      <c r="E1651">
        <v>29.6</v>
      </c>
      <c r="F1651">
        <v>8.4600000000000009</v>
      </c>
    </row>
    <row r="1652" spans="1:6" x14ac:dyDescent="0.2">
      <c r="A1652">
        <v>736787.62199999997</v>
      </c>
      <c r="B1652">
        <v>-149.59929099999999</v>
      </c>
      <c r="C1652">
        <v>-17.018343999999999</v>
      </c>
      <c r="D1652">
        <v>136.5</v>
      </c>
      <c r="E1652">
        <v>29.6</v>
      </c>
      <c r="F1652">
        <v>8.4600000000000009</v>
      </c>
    </row>
    <row r="1653" spans="1:6" x14ac:dyDescent="0.2">
      <c r="A1653">
        <v>736787.62199999997</v>
      </c>
      <c r="B1653">
        <v>-149.59930600000001</v>
      </c>
      <c r="C1653">
        <v>-17.018339999999998</v>
      </c>
      <c r="D1653">
        <v>136.5</v>
      </c>
      <c r="E1653">
        <v>29.6</v>
      </c>
      <c r="F1653">
        <v>8.4600000000000009</v>
      </c>
    </row>
    <row r="1654" spans="1:6" x14ac:dyDescent="0.2">
      <c r="A1654">
        <v>736787.62210000004</v>
      </c>
      <c r="B1654">
        <v>-149.59931900000001</v>
      </c>
      <c r="C1654">
        <v>-17.018343999999999</v>
      </c>
      <c r="D1654">
        <v>135.9</v>
      </c>
      <c r="E1654">
        <v>29.6</v>
      </c>
      <c r="F1654">
        <v>8.42</v>
      </c>
    </row>
    <row r="1655" spans="1:6" x14ac:dyDescent="0.2">
      <c r="A1655">
        <v>736787.62210000004</v>
      </c>
      <c r="B1655">
        <v>-149.59932699999999</v>
      </c>
      <c r="C1655">
        <v>-17.018356000000001</v>
      </c>
      <c r="D1655">
        <v>135.9</v>
      </c>
      <c r="E1655">
        <v>29.6</v>
      </c>
      <c r="F1655">
        <v>8.42</v>
      </c>
    </row>
    <row r="1656" spans="1:6" x14ac:dyDescent="0.2">
      <c r="A1656">
        <v>736787.62210000004</v>
      </c>
      <c r="B1656">
        <v>-149.599332</v>
      </c>
      <c r="C1656">
        <v>-17.018366</v>
      </c>
      <c r="D1656">
        <v>135.9</v>
      </c>
      <c r="E1656">
        <v>29.6</v>
      </c>
      <c r="F1656">
        <v>8.42</v>
      </c>
    </row>
    <row r="1657" spans="1:6" x14ac:dyDescent="0.2">
      <c r="A1657">
        <v>736787.62219999998</v>
      </c>
      <c r="B1657">
        <v>-149.59933899999999</v>
      </c>
      <c r="C1657">
        <v>-17.018378999999999</v>
      </c>
      <c r="D1657">
        <v>136.25680009977799</v>
      </c>
      <c r="E1657">
        <v>29.6</v>
      </c>
      <c r="F1657">
        <v>8.44568000997781</v>
      </c>
    </row>
    <row r="1658" spans="1:6" x14ac:dyDescent="0.2">
      <c r="A1658">
        <v>736787.62219999998</v>
      </c>
      <c r="B1658">
        <v>-149.59935300000001</v>
      </c>
      <c r="C1658">
        <v>-17.018391999999999</v>
      </c>
      <c r="D1658">
        <v>136.25680009977799</v>
      </c>
      <c r="E1658">
        <v>29.6</v>
      </c>
      <c r="F1658">
        <v>8.44568000997781</v>
      </c>
    </row>
    <row r="1659" spans="1:6" x14ac:dyDescent="0.2">
      <c r="A1659">
        <v>736787.62219999998</v>
      </c>
      <c r="B1659">
        <v>-149.59936200000001</v>
      </c>
      <c r="C1659">
        <v>-17.018398999999999</v>
      </c>
      <c r="D1659">
        <v>136.25680009977799</v>
      </c>
      <c r="E1659">
        <v>29.6</v>
      </c>
      <c r="F1659">
        <v>8.44568000997781</v>
      </c>
    </row>
    <row r="1660" spans="1:6" x14ac:dyDescent="0.2">
      <c r="A1660">
        <v>736787.62219999998</v>
      </c>
      <c r="B1660">
        <v>-149.599379</v>
      </c>
      <c r="C1660">
        <v>-17.018408000000001</v>
      </c>
      <c r="D1660">
        <v>136.25680009977799</v>
      </c>
      <c r="E1660">
        <v>29.6</v>
      </c>
      <c r="F1660">
        <v>8.44568000997781</v>
      </c>
    </row>
    <row r="1661" spans="1:6" x14ac:dyDescent="0.2">
      <c r="A1661">
        <v>736787.62219999998</v>
      </c>
      <c r="B1661">
        <v>-149.599388</v>
      </c>
      <c r="C1661">
        <v>-17.018415000000001</v>
      </c>
      <c r="D1661">
        <v>136.25680009977799</v>
      </c>
      <c r="E1661">
        <v>29.6</v>
      </c>
      <c r="F1661">
        <v>8.44568000997781</v>
      </c>
    </row>
    <row r="1662" spans="1:6" x14ac:dyDescent="0.2">
      <c r="A1662">
        <v>736787.62219999998</v>
      </c>
      <c r="B1662">
        <v>-149.599402</v>
      </c>
      <c r="C1662">
        <v>-17.018428</v>
      </c>
      <c r="D1662">
        <v>136.25680009977799</v>
      </c>
      <c r="E1662">
        <v>29.6</v>
      </c>
      <c r="F1662">
        <v>8.44568000997781</v>
      </c>
    </row>
    <row r="1663" spans="1:6" x14ac:dyDescent="0.2">
      <c r="A1663">
        <v>736787.62230000005</v>
      </c>
      <c r="B1663">
        <v>-149.59940700000001</v>
      </c>
      <c r="C1663">
        <v>-17.018440999999999</v>
      </c>
      <c r="D1663">
        <v>136.1</v>
      </c>
      <c r="E1663">
        <v>29.6</v>
      </c>
      <c r="F1663">
        <v>8.43</v>
      </c>
    </row>
    <row r="1664" spans="1:6" x14ac:dyDescent="0.2">
      <c r="A1664">
        <v>736787.62230000005</v>
      </c>
      <c r="B1664">
        <v>-149.599414</v>
      </c>
      <c r="C1664">
        <v>-17.018453999999998</v>
      </c>
      <c r="D1664">
        <v>136.1</v>
      </c>
      <c r="E1664">
        <v>29.6</v>
      </c>
      <c r="F1664">
        <v>8.43</v>
      </c>
    </row>
    <row r="1665" spans="1:6" x14ac:dyDescent="0.2">
      <c r="A1665">
        <v>736787.62230000005</v>
      </c>
      <c r="B1665">
        <v>-149.59941800000001</v>
      </c>
      <c r="C1665">
        <v>-17.018464000000002</v>
      </c>
      <c r="D1665">
        <v>136.1</v>
      </c>
      <c r="E1665">
        <v>29.6</v>
      </c>
      <c r="F1665">
        <v>8.43</v>
      </c>
    </row>
    <row r="1666" spans="1:6" x14ac:dyDescent="0.2">
      <c r="A1666">
        <v>736787.62230000005</v>
      </c>
      <c r="B1666">
        <v>-149.59942100000001</v>
      </c>
      <c r="C1666">
        <v>-17.018476</v>
      </c>
      <c r="D1666">
        <v>136.1</v>
      </c>
      <c r="E1666">
        <v>29.6</v>
      </c>
      <c r="F1666">
        <v>8.43</v>
      </c>
    </row>
    <row r="1667" spans="1:6" x14ac:dyDescent="0.2">
      <c r="A1667">
        <v>736787.62230000005</v>
      </c>
      <c r="B1667">
        <v>-149.599425</v>
      </c>
      <c r="C1667">
        <v>-17.018487</v>
      </c>
      <c r="D1667">
        <v>136.1</v>
      </c>
      <c r="E1667">
        <v>29.6</v>
      </c>
      <c r="F1667">
        <v>8.43</v>
      </c>
    </row>
    <row r="1668" spans="1:6" x14ac:dyDescent="0.2">
      <c r="A1668">
        <v>736787.62230000005</v>
      </c>
      <c r="B1668">
        <v>-149.59942599999999</v>
      </c>
      <c r="C1668">
        <v>-17.018498000000001</v>
      </c>
      <c r="D1668">
        <v>136.1</v>
      </c>
      <c r="E1668">
        <v>29.6</v>
      </c>
      <c r="F1668">
        <v>8.43</v>
      </c>
    </row>
    <row r="1669" spans="1:6" x14ac:dyDescent="0.2">
      <c r="A1669">
        <v>736787.62230000005</v>
      </c>
      <c r="B1669">
        <v>-149.59942599999999</v>
      </c>
      <c r="C1669">
        <v>-17.018507</v>
      </c>
      <c r="D1669">
        <v>136.1</v>
      </c>
      <c r="E1669">
        <v>29.6</v>
      </c>
      <c r="F1669">
        <v>8.43</v>
      </c>
    </row>
    <row r="1670" spans="1:6" x14ac:dyDescent="0.2">
      <c r="A1670">
        <v>736787.62239999999</v>
      </c>
      <c r="B1670">
        <v>-149.59942699999999</v>
      </c>
      <c r="C1670">
        <v>-17.018516000000002</v>
      </c>
      <c r="D1670">
        <v>136.36719995654801</v>
      </c>
      <c r="E1670">
        <v>29.6</v>
      </c>
      <c r="F1670">
        <v>8.4467199956548207</v>
      </c>
    </row>
    <row r="1671" spans="1:6" x14ac:dyDescent="0.2">
      <c r="A1671">
        <v>736787.62239999999</v>
      </c>
      <c r="B1671">
        <v>-149.59942899999999</v>
      </c>
      <c r="C1671">
        <v>-17.018526000000001</v>
      </c>
      <c r="D1671">
        <v>136.36719995654801</v>
      </c>
      <c r="E1671">
        <v>29.6</v>
      </c>
      <c r="F1671">
        <v>8.4467199956548207</v>
      </c>
    </row>
    <row r="1672" spans="1:6" x14ac:dyDescent="0.2">
      <c r="A1672">
        <v>736787.62239999999</v>
      </c>
      <c r="B1672">
        <v>-149.59943200000001</v>
      </c>
      <c r="C1672">
        <v>-17.018543000000001</v>
      </c>
      <c r="D1672">
        <v>136.36719995654801</v>
      </c>
      <c r="E1672">
        <v>29.6</v>
      </c>
      <c r="F1672">
        <v>8.4467199956548207</v>
      </c>
    </row>
    <row r="1673" spans="1:6" x14ac:dyDescent="0.2">
      <c r="A1673">
        <v>736787.62239999999</v>
      </c>
      <c r="B1673">
        <v>-149.599447</v>
      </c>
      <c r="C1673">
        <v>-17.018554000000002</v>
      </c>
      <c r="D1673">
        <v>136.36719995654801</v>
      </c>
      <c r="E1673">
        <v>29.6</v>
      </c>
      <c r="F1673">
        <v>8.4467199956548207</v>
      </c>
    </row>
    <row r="1674" spans="1:6" x14ac:dyDescent="0.2">
      <c r="A1674">
        <v>736787.62239999999</v>
      </c>
      <c r="B1674">
        <v>-149.599446</v>
      </c>
      <c r="C1674">
        <v>-17.018568999999999</v>
      </c>
      <c r="D1674">
        <v>136.36719995654801</v>
      </c>
      <c r="E1674">
        <v>29.6</v>
      </c>
      <c r="F1674">
        <v>8.4467199956548207</v>
      </c>
    </row>
    <row r="1675" spans="1:6" x14ac:dyDescent="0.2">
      <c r="A1675">
        <v>736787.62250000006</v>
      </c>
      <c r="B1675">
        <v>-149.59944999999999</v>
      </c>
      <c r="C1675">
        <v>-17.018585000000002</v>
      </c>
      <c r="D1675">
        <v>136.680001126527</v>
      </c>
      <c r="E1675">
        <v>29.6</v>
      </c>
      <c r="F1675">
        <v>8.4660000643729791</v>
      </c>
    </row>
    <row r="1676" spans="1:6" x14ac:dyDescent="0.2">
      <c r="A1676">
        <v>736787.62250000006</v>
      </c>
      <c r="B1676">
        <v>-149.59945200000001</v>
      </c>
      <c r="C1676">
        <v>-17.018599999999999</v>
      </c>
      <c r="D1676">
        <v>136.680001126527</v>
      </c>
      <c r="E1676">
        <v>29.6</v>
      </c>
      <c r="F1676">
        <v>8.4660000643729791</v>
      </c>
    </row>
    <row r="1677" spans="1:6" x14ac:dyDescent="0.2">
      <c r="A1677">
        <v>736787.62250000006</v>
      </c>
      <c r="B1677">
        <v>-149.599457</v>
      </c>
      <c r="C1677">
        <v>-17.018612999999998</v>
      </c>
      <c r="D1677">
        <v>136.680001126527</v>
      </c>
      <c r="E1677">
        <v>29.6</v>
      </c>
      <c r="F1677">
        <v>8.4660000643729791</v>
      </c>
    </row>
    <row r="1678" spans="1:6" x14ac:dyDescent="0.2">
      <c r="A1678">
        <v>736787.62250000006</v>
      </c>
      <c r="B1678">
        <v>-149.59946199999999</v>
      </c>
      <c r="C1678">
        <v>-17.018628</v>
      </c>
      <c r="D1678">
        <v>136.680001126527</v>
      </c>
      <c r="E1678">
        <v>29.6</v>
      </c>
      <c r="F1678">
        <v>8.4660000643729791</v>
      </c>
    </row>
    <row r="1679" spans="1:6" x14ac:dyDescent="0.2">
      <c r="A1679">
        <v>736787.6226</v>
      </c>
      <c r="B1679">
        <v>-149.59946400000001</v>
      </c>
      <c r="C1679">
        <v>-17.018642</v>
      </c>
      <c r="D1679">
        <v>137.1</v>
      </c>
      <c r="E1679">
        <v>29.6</v>
      </c>
      <c r="F1679">
        <v>8.49</v>
      </c>
    </row>
    <row r="1680" spans="1:6" x14ac:dyDescent="0.2">
      <c r="A1680">
        <v>736787.6226</v>
      </c>
      <c r="B1680">
        <v>-149.59947299999999</v>
      </c>
      <c r="C1680">
        <v>-17.018647999999999</v>
      </c>
      <c r="D1680">
        <v>137.1</v>
      </c>
      <c r="E1680">
        <v>29.6</v>
      </c>
      <c r="F1680">
        <v>8.49</v>
      </c>
    </row>
    <row r="1681" spans="1:6" x14ac:dyDescent="0.2">
      <c r="A1681">
        <v>736787.6226</v>
      </c>
      <c r="B1681">
        <v>-149.59948299999999</v>
      </c>
      <c r="C1681">
        <v>-17.018654999999999</v>
      </c>
      <c r="D1681">
        <v>137.1</v>
      </c>
      <c r="E1681">
        <v>29.6</v>
      </c>
      <c r="F1681">
        <v>8.49</v>
      </c>
    </row>
    <row r="1682" spans="1:6" x14ac:dyDescent="0.2">
      <c r="A1682">
        <v>736787.62269999995</v>
      </c>
      <c r="B1682">
        <v>-149.59949499999999</v>
      </c>
      <c r="C1682">
        <v>-17.018661000000002</v>
      </c>
      <c r="D1682">
        <v>137.1</v>
      </c>
      <c r="E1682">
        <v>29.6</v>
      </c>
      <c r="F1682">
        <v>8.49</v>
      </c>
    </row>
    <row r="1683" spans="1:6" x14ac:dyDescent="0.2">
      <c r="A1683">
        <v>736787.62269999995</v>
      </c>
      <c r="B1683">
        <v>-149.599503</v>
      </c>
      <c r="C1683">
        <v>-17.018667000000001</v>
      </c>
      <c r="D1683">
        <v>137.1</v>
      </c>
      <c r="E1683">
        <v>29.6</v>
      </c>
      <c r="F1683">
        <v>8.49</v>
      </c>
    </row>
    <row r="1684" spans="1:6" x14ac:dyDescent="0.2">
      <c r="A1684">
        <v>736787.62280000001</v>
      </c>
      <c r="B1684">
        <v>-149.59951599999999</v>
      </c>
      <c r="C1684">
        <v>-17.018674000000001</v>
      </c>
      <c r="D1684">
        <v>136.583200061154</v>
      </c>
      <c r="E1684">
        <v>29.6</v>
      </c>
      <c r="F1684">
        <v>8.4583200061154304</v>
      </c>
    </row>
    <row r="1685" spans="1:6" x14ac:dyDescent="0.2">
      <c r="A1685">
        <v>736787.62280000001</v>
      </c>
      <c r="B1685">
        <v>-149.59952000000001</v>
      </c>
      <c r="C1685">
        <v>-17.018681999999998</v>
      </c>
      <c r="D1685">
        <v>136.583200061154</v>
      </c>
      <c r="E1685">
        <v>29.6</v>
      </c>
      <c r="F1685">
        <v>8.4583200061154304</v>
      </c>
    </row>
    <row r="1686" spans="1:6" x14ac:dyDescent="0.2">
      <c r="A1686">
        <v>736787.62280000001</v>
      </c>
      <c r="B1686">
        <v>-149.59952699999999</v>
      </c>
      <c r="C1686">
        <v>-17.018691</v>
      </c>
      <c r="D1686">
        <v>136.583200061154</v>
      </c>
      <c r="E1686">
        <v>29.6</v>
      </c>
      <c r="F1686">
        <v>8.4583200061154304</v>
      </c>
    </row>
    <row r="1687" spans="1:6" x14ac:dyDescent="0.2">
      <c r="A1687">
        <v>736787.62289999996</v>
      </c>
      <c r="B1687">
        <v>-149.59953899999999</v>
      </c>
      <c r="C1687">
        <v>-17.018702000000001</v>
      </c>
      <c r="D1687">
        <v>136.68719983584899</v>
      </c>
      <c r="E1687">
        <v>29.6</v>
      </c>
      <c r="F1687">
        <v>8.4624799890565896</v>
      </c>
    </row>
    <row r="1688" spans="1:6" x14ac:dyDescent="0.2">
      <c r="A1688">
        <v>736787.62289999996</v>
      </c>
      <c r="B1688">
        <v>-149.599547</v>
      </c>
      <c r="C1688">
        <v>-17.018712000000001</v>
      </c>
      <c r="D1688">
        <v>136.68719983584899</v>
      </c>
      <c r="E1688">
        <v>29.6</v>
      </c>
      <c r="F1688">
        <v>8.4624799890565896</v>
      </c>
    </row>
    <row r="1689" spans="1:6" x14ac:dyDescent="0.2">
      <c r="A1689">
        <v>736787.62289999996</v>
      </c>
      <c r="B1689">
        <v>-149.59955500000001</v>
      </c>
      <c r="C1689">
        <v>-17.018725</v>
      </c>
      <c r="D1689">
        <v>136.68719983584899</v>
      </c>
      <c r="E1689">
        <v>29.6</v>
      </c>
      <c r="F1689">
        <v>8.4624799890565896</v>
      </c>
    </row>
    <row r="1690" spans="1:6" x14ac:dyDescent="0.2">
      <c r="A1690">
        <v>736787.62289999996</v>
      </c>
      <c r="B1690">
        <v>-149.59956700000001</v>
      </c>
      <c r="C1690">
        <v>-17.018737000000002</v>
      </c>
      <c r="D1690">
        <v>136.68719983584899</v>
      </c>
      <c r="E1690">
        <v>29.6</v>
      </c>
      <c r="F1690">
        <v>8.4624799890565896</v>
      </c>
    </row>
    <row r="1691" spans="1:6" x14ac:dyDescent="0.2">
      <c r="A1691">
        <v>736787.62300000002</v>
      </c>
      <c r="B1691">
        <v>-149.59957299999999</v>
      </c>
      <c r="C1691">
        <v>-17.018750000000001</v>
      </c>
      <c r="D1691">
        <v>137</v>
      </c>
      <c r="E1691">
        <v>29.6</v>
      </c>
      <c r="F1691">
        <v>8.48</v>
      </c>
    </row>
    <row r="1692" spans="1:6" x14ac:dyDescent="0.2">
      <c r="A1692">
        <v>736787.62300000002</v>
      </c>
      <c r="B1692">
        <v>-149.59958499999999</v>
      </c>
      <c r="C1692">
        <v>-17.018768000000001</v>
      </c>
      <c r="D1692">
        <v>137</v>
      </c>
      <c r="E1692">
        <v>29.6</v>
      </c>
      <c r="F1692">
        <v>8.48</v>
      </c>
    </row>
    <row r="1693" spans="1:6" x14ac:dyDescent="0.2">
      <c r="A1693">
        <v>736787.62300000002</v>
      </c>
      <c r="B1693">
        <v>-149.59958900000001</v>
      </c>
      <c r="C1693">
        <v>-17.018782999999999</v>
      </c>
      <c r="D1693">
        <v>137</v>
      </c>
      <c r="E1693">
        <v>29.6</v>
      </c>
      <c r="F1693">
        <v>8.48</v>
      </c>
    </row>
    <row r="1694" spans="1:6" x14ac:dyDescent="0.2">
      <c r="A1694">
        <v>736787.62300000002</v>
      </c>
      <c r="B1694">
        <v>-149.599594</v>
      </c>
      <c r="C1694">
        <v>-17.018795999999998</v>
      </c>
      <c r="D1694">
        <v>137</v>
      </c>
      <c r="E1694">
        <v>29.6</v>
      </c>
      <c r="F1694">
        <v>8.48</v>
      </c>
    </row>
    <row r="1695" spans="1:6" x14ac:dyDescent="0.2">
      <c r="A1695">
        <v>736787.62300000002</v>
      </c>
      <c r="B1695">
        <v>-149.59959499999999</v>
      </c>
      <c r="C1695">
        <v>-17.018808</v>
      </c>
      <c r="D1695">
        <v>137</v>
      </c>
      <c r="E1695">
        <v>29.6</v>
      </c>
      <c r="F1695">
        <v>8.48</v>
      </c>
    </row>
    <row r="1696" spans="1:6" x14ac:dyDescent="0.2">
      <c r="A1696">
        <v>736787.62309999997</v>
      </c>
      <c r="B1696">
        <v>-149.59959499999999</v>
      </c>
      <c r="C1696">
        <v>-17.018820999999999</v>
      </c>
      <c r="D1696">
        <v>137.076799979079</v>
      </c>
      <c r="E1696">
        <v>29.6</v>
      </c>
      <c r="F1696">
        <v>8.4876799979078807</v>
      </c>
    </row>
    <row r="1697" spans="1:6" x14ac:dyDescent="0.2">
      <c r="A1697">
        <v>736787.62309999997</v>
      </c>
      <c r="B1697">
        <v>-149.599602</v>
      </c>
      <c r="C1697">
        <v>-17.018830000000001</v>
      </c>
      <c r="D1697">
        <v>137.076799979079</v>
      </c>
      <c r="E1697">
        <v>29.6</v>
      </c>
      <c r="F1697">
        <v>8.4876799979078807</v>
      </c>
    </row>
    <row r="1698" spans="1:6" x14ac:dyDescent="0.2">
      <c r="A1698">
        <v>736787.62320000003</v>
      </c>
      <c r="B1698">
        <v>-149.59959599999999</v>
      </c>
      <c r="C1698">
        <v>-17.018837999999999</v>
      </c>
      <c r="D1698">
        <v>136.9</v>
      </c>
      <c r="E1698">
        <v>29.6</v>
      </c>
      <c r="F1698">
        <v>8.4750400017702603</v>
      </c>
    </row>
    <row r="1699" spans="1:6" x14ac:dyDescent="0.2">
      <c r="A1699">
        <v>736787.62320000003</v>
      </c>
      <c r="B1699">
        <v>-149.59958900000001</v>
      </c>
      <c r="C1699">
        <v>-17.018846</v>
      </c>
      <c r="D1699">
        <v>136.9</v>
      </c>
      <c r="E1699">
        <v>29.6</v>
      </c>
      <c r="F1699">
        <v>8.4750400017702603</v>
      </c>
    </row>
    <row r="1700" spans="1:6" x14ac:dyDescent="0.2">
      <c r="A1700">
        <v>736787.62320000003</v>
      </c>
      <c r="B1700">
        <v>-149.599583</v>
      </c>
      <c r="C1700">
        <v>-17.018854999999999</v>
      </c>
      <c r="D1700">
        <v>136.9</v>
      </c>
      <c r="E1700">
        <v>29.6</v>
      </c>
      <c r="F1700">
        <v>8.4750400017702603</v>
      </c>
    </row>
    <row r="1701" spans="1:6" x14ac:dyDescent="0.2">
      <c r="A1701">
        <v>736787.62320000003</v>
      </c>
      <c r="B1701">
        <v>-149.59957800000001</v>
      </c>
      <c r="C1701">
        <v>-17.018865000000002</v>
      </c>
      <c r="D1701">
        <v>136.9</v>
      </c>
      <c r="E1701">
        <v>29.6</v>
      </c>
      <c r="F1701">
        <v>8.4750400017702603</v>
      </c>
    </row>
    <row r="1702" spans="1:6" x14ac:dyDescent="0.2">
      <c r="A1702">
        <v>736787.62320000003</v>
      </c>
      <c r="B1702">
        <v>-149.59957499999999</v>
      </c>
      <c r="C1702">
        <v>-17.018874</v>
      </c>
      <c r="D1702">
        <v>136.9</v>
      </c>
      <c r="E1702">
        <v>29.6</v>
      </c>
      <c r="F1702">
        <v>8.4750400017702603</v>
      </c>
    </row>
    <row r="1703" spans="1:6" x14ac:dyDescent="0.2">
      <c r="A1703">
        <v>736787.62320000003</v>
      </c>
      <c r="B1703">
        <v>-149.599569</v>
      </c>
      <c r="C1703">
        <v>-17.018884</v>
      </c>
      <c r="D1703">
        <v>136.9</v>
      </c>
      <c r="E1703">
        <v>29.6</v>
      </c>
      <c r="F1703">
        <v>8.4750400017702603</v>
      </c>
    </row>
    <row r="1704" spans="1:6" x14ac:dyDescent="0.2">
      <c r="A1704">
        <v>736787.62320000003</v>
      </c>
      <c r="B1704">
        <v>-149.59956399999999</v>
      </c>
      <c r="C1704">
        <v>-17.018898</v>
      </c>
      <c r="D1704">
        <v>136.9</v>
      </c>
      <c r="E1704">
        <v>29.6</v>
      </c>
      <c r="F1704">
        <v>8.4750400017702603</v>
      </c>
    </row>
    <row r="1705" spans="1:6" x14ac:dyDescent="0.2">
      <c r="A1705">
        <v>736787.62329999998</v>
      </c>
      <c r="B1705">
        <v>-149.59956099999999</v>
      </c>
      <c r="C1705">
        <v>-17.018910000000002</v>
      </c>
      <c r="D1705">
        <v>137.24479997103199</v>
      </c>
      <c r="E1705">
        <v>29.6</v>
      </c>
      <c r="F1705">
        <v>8.4922399985516108</v>
      </c>
    </row>
    <row r="1706" spans="1:6" x14ac:dyDescent="0.2">
      <c r="A1706">
        <v>736787.62329999998</v>
      </c>
      <c r="B1706">
        <v>-149.59955500000001</v>
      </c>
      <c r="C1706">
        <v>-17.018920000000001</v>
      </c>
      <c r="D1706">
        <v>137.24479997103199</v>
      </c>
      <c r="E1706">
        <v>29.6</v>
      </c>
      <c r="F1706">
        <v>8.4922399985516108</v>
      </c>
    </row>
    <row r="1707" spans="1:6" x14ac:dyDescent="0.2">
      <c r="A1707">
        <v>736787.62329999998</v>
      </c>
      <c r="B1707">
        <v>-149.59955199999999</v>
      </c>
      <c r="C1707">
        <v>-17.018930999999998</v>
      </c>
      <c r="D1707">
        <v>137.24479997103199</v>
      </c>
      <c r="E1707">
        <v>29.6</v>
      </c>
      <c r="F1707">
        <v>8.4922399985516108</v>
      </c>
    </row>
    <row r="1708" spans="1:6" x14ac:dyDescent="0.2">
      <c r="A1708">
        <v>736787.62329999998</v>
      </c>
      <c r="B1708">
        <v>-149.599549</v>
      </c>
      <c r="C1708">
        <v>-17.018943</v>
      </c>
      <c r="D1708">
        <v>137.24479997103199</v>
      </c>
      <c r="E1708">
        <v>29.6</v>
      </c>
      <c r="F1708">
        <v>8.4922399985516108</v>
      </c>
    </row>
    <row r="1709" spans="1:6" x14ac:dyDescent="0.2">
      <c r="A1709">
        <v>736787.62329999998</v>
      </c>
      <c r="B1709">
        <v>-149.599546</v>
      </c>
      <c r="C1709">
        <v>-17.018953</v>
      </c>
      <c r="D1709">
        <v>137.24479997103199</v>
      </c>
      <c r="E1709">
        <v>29.6</v>
      </c>
      <c r="F1709">
        <v>8.4922399985516108</v>
      </c>
    </row>
    <row r="1710" spans="1:6" x14ac:dyDescent="0.2">
      <c r="A1710">
        <v>736787.62329999998</v>
      </c>
      <c r="B1710">
        <v>-149.59953999999999</v>
      </c>
      <c r="C1710">
        <v>-17.018962999999999</v>
      </c>
      <c r="D1710">
        <v>137.24479997103199</v>
      </c>
      <c r="E1710">
        <v>29.6</v>
      </c>
      <c r="F1710">
        <v>8.4922399985516108</v>
      </c>
    </row>
    <row r="1711" spans="1:6" x14ac:dyDescent="0.2">
      <c r="A1711">
        <v>736787.62329999998</v>
      </c>
      <c r="B1711">
        <v>-149.59953300000001</v>
      </c>
      <c r="C1711">
        <v>-17.018978000000001</v>
      </c>
      <c r="D1711">
        <v>137.24479997103199</v>
      </c>
      <c r="E1711">
        <v>29.6</v>
      </c>
      <c r="F1711">
        <v>8.4922399985516108</v>
      </c>
    </row>
    <row r="1712" spans="1:6" x14ac:dyDescent="0.2">
      <c r="A1712">
        <v>736787.62329999998</v>
      </c>
      <c r="B1712">
        <v>-149.599526</v>
      </c>
      <c r="C1712">
        <v>-17.018989000000001</v>
      </c>
      <c r="D1712">
        <v>137.24479997103199</v>
      </c>
      <c r="E1712">
        <v>29.6</v>
      </c>
      <c r="F1712">
        <v>8.4922399985516108</v>
      </c>
    </row>
    <row r="1713" spans="1:6" x14ac:dyDescent="0.2">
      <c r="A1713">
        <v>736787.62340000004</v>
      </c>
      <c r="B1713">
        <v>-149.59952200000001</v>
      </c>
      <c r="C1713">
        <v>-17.018999000000001</v>
      </c>
      <c r="D1713">
        <v>137.49519998873501</v>
      </c>
      <c r="E1713">
        <v>29.6</v>
      </c>
      <c r="F1713">
        <v>8.5095199988734702</v>
      </c>
    </row>
    <row r="1714" spans="1:6" x14ac:dyDescent="0.2">
      <c r="A1714">
        <v>736787.62340000004</v>
      </c>
      <c r="B1714">
        <v>-149.59951699999999</v>
      </c>
      <c r="C1714">
        <v>-17.019010999999999</v>
      </c>
      <c r="D1714">
        <v>137.49519998873501</v>
      </c>
      <c r="E1714">
        <v>29.6</v>
      </c>
      <c r="F1714">
        <v>8.5095199988734702</v>
      </c>
    </row>
    <row r="1715" spans="1:6" x14ac:dyDescent="0.2">
      <c r="A1715">
        <v>736787.62340000004</v>
      </c>
      <c r="B1715">
        <v>-149.59951100000001</v>
      </c>
      <c r="C1715">
        <v>-17.019024999999999</v>
      </c>
      <c r="D1715">
        <v>137.49519998873501</v>
      </c>
      <c r="E1715">
        <v>29.6</v>
      </c>
      <c r="F1715">
        <v>8.5095199988734702</v>
      </c>
    </row>
    <row r="1716" spans="1:6" x14ac:dyDescent="0.2">
      <c r="A1716">
        <v>736787.62340000004</v>
      </c>
      <c r="B1716">
        <v>-149.599501</v>
      </c>
      <c r="C1716">
        <v>-17.019037999999998</v>
      </c>
      <c r="D1716">
        <v>137.49519998873501</v>
      </c>
      <c r="E1716">
        <v>29.6</v>
      </c>
      <c r="F1716">
        <v>8.5095199988734702</v>
      </c>
    </row>
    <row r="1717" spans="1:6" x14ac:dyDescent="0.2">
      <c r="A1717">
        <v>736787.62340000004</v>
      </c>
      <c r="B1717">
        <v>-149.59949499999999</v>
      </c>
      <c r="C1717">
        <v>-17.019048999999999</v>
      </c>
      <c r="D1717">
        <v>137.49519998873501</v>
      </c>
      <c r="E1717">
        <v>29.6</v>
      </c>
      <c r="F1717">
        <v>8.5095199988734702</v>
      </c>
    </row>
    <row r="1718" spans="1:6" x14ac:dyDescent="0.2">
      <c r="A1718">
        <v>736787.62340000004</v>
      </c>
      <c r="B1718">
        <v>-149.599479</v>
      </c>
      <c r="C1718">
        <v>-17.01906</v>
      </c>
      <c r="D1718">
        <v>137.49519998873501</v>
      </c>
      <c r="E1718">
        <v>29.6</v>
      </c>
      <c r="F1718">
        <v>8.5095199988734702</v>
      </c>
    </row>
    <row r="1719" spans="1:6" x14ac:dyDescent="0.2">
      <c r="A1719">
        <v>736787.62340000004</v>
      </c>
      <c r="B1719">
        <v>-149.59946600000001</v>
      </c>
      <c r="C1719">
        <v>-17.019064</v>
      </c>
      <c r="D1719">
        <v>137.49519998873501</v>
      </c>
      <c r="E1719">
        <v>29.6</v>
      </c>
      <c r="F1719">
        <v>8.5095199988734702</v>
      </c>
    </row>
    <row r="1720" spans="1:6" x14ac:dyDescent="0.2">
      <c r="A1720">
        <v>736787.62340000004</v>
      </c>
      <c r="B1720">
        <v>-149.59945400000001</v>
      </c>
      <c r="C1720">
        <v>-17.019068000000001</v>
      </c>
      <c r="D1720">
        <v>137.49519998873501</v>
      </c>
      <c r="E1720">
        <v>29.6</v>
      </c>
      <c r="F1720">
        <v>8.5095199988734702</v>
      </c>
    </row>
    <row r="1721" spans="1:6" x14ac:dyDescent="0.2">
      <c r="A1721">
        <v>736787.62349999999</v>
      </c>
      <c r="B1721">
        <v>-149.59943999999999</v>
      </c>
      <c r="C1721">
        <v>-17.019072999999999</v>
      </c>
      <c r="D1721">
        <v>137.839999959767</v>
      </c>
      <c r="E1721">
        <v>29.667999991953401</v>
      </c>
      <c r="F1721">
        <v>8.5303999975860094</v>
      </c>
    </row>
    <row r="1722" spans="1:6" x14ac:dyDescent="0.2">
      <c r="A1722">
        <v>736787.62349999999</v>
      </c>
      <c r="B1722">
        <v>-149.59942599999999</v>
      </c>
      <c r="C1722">
        <v>-17.019079000000001</v>
      </c>
      <c r="D1722">
        <v>137.839999959767</v>
      </c>
      <c r="E1722">
        <v>29.667999991953401</v>
      </c>
      <c r="F1722">
        <v>8.5303999975860094</v>
      </c>
    </row>
    <row r="1723" spans="1:6" x14ac:dyDescent="0.2">
      <c r="A1723">
        <v>736787.62349999999</v>
      </c>
      <c r="B1723">
        <v>-149.599412</v>
      </c>
      <c r="C1723">
        <v>-17.019086999999999</v>
      </c>
      <c r="D1723">
        <v>137.839999959767</v>
      </c>
      <c r="E1723">
        <v>29.667999991953401</v>
      </c>
      <c r="F1723">
        <v>8.5303999975860094</v>
      </c>
    </row>
    <row r="1724" spans="1:6" x14ac:dyDescent="0.2">
      <c r="A1724">
        <v>736787.62349999999</v>
      </c>
      <c r="B1724">
        <v>-149.5994</v>
      </c>
      <c r="C1724">
        <v>-17.019088</v>
      </c>
      <c r="D1724">
        <v>137.839999959767</v>
      </c>
      <c r="E1724">
        <v>29.667999991953401</v>
      </c>
      <c r="F1724">
        <v>8.5303999975860094</v>
      </c>
    </row>
    <row r="1725" spans="1:6" x14ac:dyDescent="0.2">
      <c r="A1725">
        <v>736787.62349999999</v>
      </c>
      <c r="B1725">
        <v>-149.59938700000001</v>
      </c>
      <c r="C1725">
        <v>-17.019093999999999</v>
      </c>
      <c r="D1725">
        <v>137.839999959767</v>
      </c>
      <c r="E1725">
        <v>29.667999991953401</v>
      </c>
      <c r="F1725">
        <v>8.5303999975860094</v>
      </c>
    </row>
    <row r="1726" spans="1:6" x14ac:dyDescent="0.2">
      <c r="A1726">
        <v>736787.62349999999</v>
      </c>
      <c r="B1726">
        <v>-149.599377</v>
      </c>
      <c r="C1726">
        <v>-17.019100000000002</v>
      </c>
      <c r="D1726">
        <v>137.839999959767</v>
      </c>
      <c r="E1726">
        <v>29.667999991953401</v>
      </c>
      <c r="F1726">
        <v>8.5303999975860094</v>
      </c>
    </row>
    <row r="1727" spans="1:6" x14ac:dyDescent="0.2">
      <c r="A1727">
        <v>736787.62349999999</v>
      </c>
      <c r="B1727">
        <v>-149.599366</v>
      </c>
      <c r="C1727">
        <v>-17.019107999999999</v>
      </c>
      <c r="D1727">
        <v>137.839999959767</v>
      </c>
      <c r="E1727">
        <v>29.667999991953401</v>
      </c>
      <c r="F1727">
        <v>8.5303999975860094</v>
      </c>
    </row>
    <row r="1728" spans="1:6" x14ac:dyDescent="0.2">
      <c r="A1728">
        <v>736787.62349999999</v>
      </c>
      <c r="B1728">
        <v>-149.59935100000001</v>
      </c>
      <c r="C1728">
        <v>-17.019117000000001</v>
      </c>
      <c r="D1728">
        <v>137.839999959767</v>
      </c>
      <c r="E1728">
        <v>29.667999991953401</v>
      </c>
      <c r="F1728">
        <v>8.5303999975860094</v>
      </c>
    </row>
    <row r="1729" spans="1:6" x14ac:dyDescent="0.2">
      <c r="A1729">
        <v>736787.62360000005</v>
      </c>
      <c r="B1729">
        <v>-149.599334</v>
      </c>
      <c r="C1729">
        <v>-17.019126</v>
      </c>
      <c r="D1729">
        <v>138.489600926973</v>
      </c>
      <c r="E1729">
        <v>29.740800077247702</v>
      </c>
      <c r="F1729">
        <v>8.5585600540734106</v>
      </c>
    </row>
    <row r="1730" spans="1:6" x14ac:dyDescent="0.2">
      <c r="A1730">
        <v>736787.62360000005</v>
      </c>
      <c r="B1730">
        <v>-149.59931900000001</v>
      </c>
      <c r="C1730">
        <v>-17.019134000000001</v>
      </c>
      <c r="D1730">
        <v>138.489600926973</v>
      </c>
      <c r="E1730">
        <v>29.740800077247702</v>
      </c>
      <c r="F1730">
        <v>8.5585600540734106</v>
      </c>
    </row>
    <row r="1731" spans="1:6" x14ac:dyDescent="0.2">
      <c r="A1731">
        <v>736787.62360000005</v>
      </c>
      <c r="B1731">
        <v>-149.59930600000001</v>
      </c>
      <c r="C1731">
        <v>-17.019136</v>
      </c>
      <c r="D1731">
        <v>138.489600926973</v>
      </c>
      <c r="E1731">
        <v>29.740800077247702</v>
      </c>
      <c r="F1731">
        <v>8.5585600540734106</v>
      </c>
    </row>
    <row r="1732" spans="1:6" x14ac:dyDescent="0.2">
      <c r="A1732">
        <v>736787.62360000005</v>
      </c>
      <c r="B1732">
        <v>-149.599289</v>
      </c>
      <c r="C1732">
        <v>-17.019141999999999</v>
      </c>
      <c r="D1732">
        <v>138.489600926973</v>
      </c>
      <c r="E1732">
        <v>29.740800077247702</v>
      </c>
      <c r="F1732">
        <v>8.5585600540734106</v>
      </c>
    </row>
    <row r="1733" spans="1:6" x14ac:dyDescent="0.2">
      <c r="A1733">
        <v>736787.62360000005</v>
      </c>
      <c r="B1733">
        <v>-149.59927500000001</v>
      </c>
      <c r="C1733">
        <v>-17.019144000000001</v>
      </c>
      <c r="D1733">
        <v>138.489600926973</v>
      </c>
      <c r="E1733">
        <v>29.740800077247702</v>
      </c>
      <c r="F1733">
        <v>8.5585600540734106</v>
      </c>
    </row>
    <row r="1734" spans="1:6" x14ac:dyDescent="0.2">
      <c r="A1734">
        <v>736787.62360000005</v>
      </c>
      <c r="B1734">
        <v>-149.59926200000001</v>
      </c>
      <c r="C1734">
        <v>-17.01914</v>
      </c>
      <c r="D1734">
        <v>138.489600926973</v>
      </c>
      <c r="E1734">
        <v>29.740800077247702</v>
      </c>
      <c r="F1734">
        <v>8.5585600540734106</v>
      </c>
    </row>
    <row r="1735" spans="1:6" x14ac:dyDescent="0.2">
      <c r="A1735">
        <v>736787.62360000005</v>
      </c>
      <c r="B1735">
        <v>-149.59924899999999</v>
      </c>
      <c r="C1735">
        <v>-17.019136</v>
      </c>
      <c r="D1735">
        <v>138.489600926973</v>
      </c>
      <c r="E1735">
        <v>29.740800077247702</v>
      </c>
      <c r="F1735">
        <v>8.5585600540734106</v>
      </c>
    </row>
    <row r="1736" spans="1:6" x14ac:dyDescent="0.2">
      <c r="A1736">
        <v>736787.62360000005</v>
      </c>
      <c r="B1736">
        <v>-149.59923699999999</v>
      </c>
      <c r="C1736">
        <v>-17.019133</v>
      </c>
      <c r="D1736">
        <v>138.489600926973</v>
      </c>
      <c r="E1736">
        <v>29.740800077247702</v>
      </c>
      <c r="F1736">
        <v>8.5585600540734106</v>
      </c>
    </row>
    <row r="1737" spans="1:6" x14ac:dyDescent="0.2">
      <c r="A1737">
        <v>736787.62360000005</v>
      </c>
      <c r="B1737">
        <v>-149.59922599999999</v>
      </c>
      <c r="C1737">
        <v>-17.019130000000001</v>
      </c>
      <c r="D1737">
        <v>138.489600926973</v>
      </c>
      <c r="E1737">
        <v>29.740800077247702</v>
      </c>
      <c r="F1737">
        <v>8.5585600540734106</v>
      </c>
    </row>
    <row r="1738" spans="1:6" x14ac:dyDescent="0.2">
      <c r="A1738">
        <v>736787.6237</v>
      </c>
      <c r="B1738">
        <v>-149.59921299999999</v>
      </c>
      <c r="C1738">
        <v>-17.019129</v>
      </c>
      <c r="D1738">
        <v>141.549599982297</v>
      </c>
      <c r="E1738">
        <v>29.8</v>
      </c>
      <c r="F1738">
        <v>8.7395199988734706</v>
      </c>
    </row>
    <row r="1739" spans="1:6" x14ac:dyDescent="0.2">
      <c r="A1739">
        <v>736787.6237</v>
      </c>
      <c r="B1739">
        <v>-149.599197</v>
      </c>
      <c r="C1739">
        <v>-17.019130000000001</v>
      </c>
      <c r="D1739">
        <v>141.549599982297</v>
      </c>
      <c r="E1739">
        <v>29.8</v>
      </c>
      <c r="F1739">
        <v>8.7395199988734706</v>
      </c>
    </row>
    <row r="1740" spans="1:6" x14ac:dyDescent="0.2">
      <c r="A1740">
        <v>736787.6237</v>
      </c>
      <c r="B1740">
        <v>-149.59918500000001</v>
      </c>
      <c r="C1740">
        <v>-17.019131999999999</v>
      </c>
      <c r="D1740">
        <v>141.549599982297</v>
      </c>
      <c r="E1740">
        <v>29.8</v>
      </c>
      <c r="F1740">
        <v>8.7395199988734706</v>
      </c>
    </row>
    <row r="1741" spans="1:6" x14ac:dyDescent="0.2">
      <c r="A1741">
        <v>736787.6237</v>
      </c>
      <c r="B1741">
        <v>-149.59917200000001</v>
      </c>
      <c r="C1741">
        <v>-17.019138999999999</v>
      </c>
      <c r="D1741">
        <v>141.549599982297</v>
      </c>
      <c r="E1741">
        <v>29.8</v>
      </c>
      <c r="F1741">
        <v>8.7395199988734706</v>
      </c>
    </row>
    <row r="1742" spans="1:6" x14ac:dyDescent="0.2">
      <c r="A1742">
        <v>736787.6237</v>
      </c>
      <c r="B1742">
        <v>-149.59916000000001</v>
      </c>
      <c r="C1742">
        <v>-17.019145000000002</v>
      </c>
      <c r="D1742">
        <v>141.549599982297</v>
      </c>
      <c r="E1742">
        <v>29.8</v>
      </c>
      <c r="F1742">
        <v>8.7395199988734706</v>
      </c>
    </row>
    <row r="1743" spans="1:6" x14ac:dyDescent="0.2">
      <c r="A1743">
        <v>736787.6237</v>
      </c>
      <c r="B1743">
        <v>-149.59914900000001</v>
      </c>
      <c r="C1743">
        <v>-17.019148000000001</v>
      </c>
      <c r="D1743">
        <v>141.549599982297</v>
      </c>
      <c r="E1743">
        <v>29.8</v>
      </c>
      <c r="F1743">
        <v>8.7395199988734706</v>
      </c>
    </row>
    <row r="1744" spans="1:6" x14ac:dyDescent="0.2">
      <c r="A1744">
        <v>736787.6237</v>
      </c>
      <c r="B1744">
        <v>-149.59913900000001</v>
      </c>
      <c r="C1744">
        <v>-17.019155000000001</v>
      </c>
      <c r="D1744">
        <v>141.549599982297</v>
      </c>
      <c r="E1744">
        <v>29.8</v>
      </c>
      <c r="F1744">
        <v>8.7395199988734706</v>
      </c>
    </row>
    <row r="1745" spans="1:6" x14ac:dyDescent="0.2">
      <c r="A1745">
        <v>736787.6237</v>
      </c>
      <c r="B1745">
        <v>-149.599129</v>
      </c>
      <c r="C1745">
        <v>-17.019159999999999</v>
      </c>
      <c r="D1745">
        <v>141.549599982297</v>
      </c>
      <c r="E1745">
        <v>29.8</v>
      </c>
      <c r="F1745">
        <v>8.7395199988734706</v>
      </c>
    </row>
    <row r="1746" spans="1:6" x14ac:dyDescent="0.2">
      <c r="A1746">
        <v>736787.62379999994</v>
      </c>
      <c r="B1746">
        <v>-149.59912</v>
      </c>
      <c r="C1746">
        <v>-17.019165000000001</v>
      </c>
      <c r="D1746">
        <v>142.5</v>
      </c>
      <c r="E1746">
        <v>29.8</v>
      </c>
      <c r="F1746">
        <v>8.8000000000000007</v>
      </c>
    </row>
    <row r="1747" spans="1:6" x14ac:dyDescent="0.2">
      <c r="A1747">
        <v>736787.62379999994</v>
      </c>
      <c r="B1747">
        <v>-149.59911</v>
      </c>
      <c r="C1747">
        <v>-17.019172000000001</v>
      </c>
      <c r="D1747">
        <v>142.5</v>
      </c>
      <c r="E1747">
        <v>29.8</v>
      </c>
      <c r="F1747">
        <v>8.8000000000000007</v>
      </c>
    </row>
    <row r="1748" spans="1:6" x14ac:dyDescent="0.2">
      <c r="A1748">
        <v>736787.62379999994</v>
      </c>
      <c r="B1748">
        <v>-149.59909999999999</v>
      </c>
      <c r="C1748">
        <v>-17.019181</v>
      </c>
      <c r="D1748">
        <v>142.5</v>
      </c>
      <c r="E1748">
        <v>29.8</v>
      </c>
      <c r="F1748">
        <v>8.8000000000000007</v>
      </c>
    </row>
    <row r="1749" spans="1:6" x14ac:dyDescent="0.2">
      <c r="A1749">
        <v>736787.62379999994</v>
      </c>
      <c r="B1749">
        <v>-149.599086</v>
      </c>
      <c r="C1749">
        <v>-17.019189999999998</v>
      </c>
      <c r="D1749">
        <v>142.5</v>
      </c>
      <c r="E1749">
        <v>29.8</v>
      </c>
      <c r="F1749">
        <v>8.8000000000000007</v>
      </c>
    </row>
    <row r="1750" spans="1:6" x14ac:dyDescent="0.2">
      <c r="A1750">
        <v>736787.62379999994</v>
      </c>
      <c r="B1750">
        <v>-149.599074</v>
      </c>
      <c r="C1750">
        <v>-17.019195</v>
      </c>
      <c r="D1750">
        <v>142.5</v>
      </c>
      <c r="E1750">
        <v>29.8</v>
      </c>
      <c r="F1750">
        <v>8.8000000000000007</v>
      </c>
    </row>
    <row r="1751" spans="1:6" x14ac:dyDescent="0.2">
      <c r="A1751">
        <v>736787.62379999994</v>
      </c>
      <c r="B1751">
        <v>-149.599063</v>
      </c>
      <c r="C1751">
        <v>-17.019197999999999</v>
      </c>
      <c r="D1751">
        <v>142.5</v>
      </c>
      <c r="E1751">
        <v>29.8</v>
      </c>
      <c r="F1751">
        <v>8.8000000000000007</v>
      </c>
    </row>
    <row r="1752" spans="1:6" x14ac:dyDescent="0.2">
      <c r="A1752">
        <v>736787.62379999994</v>
      </c>
      <c r="B1752">
        <v>-149.59904800000001</v>
      </c>
      <c r="C1752">
        <v>-17.019203999999998</v>
      </c>
      <c r="D1752">
        <v>142.5</v>
      </c>
      <c r="E1752">
        <v>29.8</v>
      </c>
      <c r="F1752">
        <v>8.8000000000000007</v>
      </c>
    </row>
    <row r="1753" spans="1:6" x14ac:dyDescent="0.2">
      <c r="A1753">
        <v>736787.62379999994</v>
      </c>
      <c r="B1753">
        <v>-149.59903600000001</v>
      </c>
      <c r="C1753">
        <v>-17.019206000000001</v>
      </c>
      <c r="D1753">
        <v>142.5</v>
      </c>
      <c r="E1753">
        <v>29.8</v>
      </c>
      <c r="F1753">
        <v>8.8000000000000007</v>
      </c>
    </row>
    <row r="1754" spans="1:6" x14ac:dyDescent="0.2">
      <c r="A1754">
        <v>736787.62379999994</v>
      </c>
      <c r="B1754">
        <v>-149.59902299999999</v>
      </c>
      <c r="C1754">
        <v>-17.019209</v>
      </c>
      <c r="D1754">
        <v>142.5</v>
      </c>
      <c r="E1754">
        <v>29.8</v>
      </c>
      <c r="F1754">
        <v>8.8000000000000007</v>
      </c>
    </row>
    <row r="1755" spans="1:6" x14ac:dyDescent="0.2">
      <c r="A1755">
        <v>736787.62390000001</v>
      </c>
      <c r="B1755">
        <v>-149.59900999999999</v>
      </c>
      <c r="C1755">
        <v>-17.019214999999999</v>
      </c>
      <c r="D1755">
        <v>143.651200053108</v>
      </c>
      <c r="E1755">
        <v>29.8</v>
      </c>
      <c r="F1755">
        <v>8.8655200028967904</v>
      </c>
    </row>
    <row r="1756" spans="1:6" x14ac:dyDescent="0.2">
      <c r="A1756">
        <v>736787.62390000001</v>
      </c>
      <c r="B1756">
        <v>-149.598997</v>
      </c>
      <c r="C1756">
        <v>-17.019221999999999</v>
      </c>
      <c r="D1756">
        <v>143.651200053108</v>
      </c>
      <c r="E1756">
        <v>29.8</v>
      </c>
      <c r="F1756">
        <v>8.8655200028967904</v>
      </c>
    </row>
    <row r="1757" spans="1:6" x14ac:dyDescent="0.2">
      <c r="A1757">
        <v>736787.62390000001</v>
      </c>
      <c r="B1757">
        <v>-149.598985</v>
      </c>
      <c r="C1757">
        <v>-17.019228999999999</v>
      </c>
      <c r="D1757">
        <v>143.651200053108</v>
      </c>
      <c r="E1757">
        <v>29.8</v>
      </c>
      <c r="F1757">
        <v>8.8655200028967904</v>
      </c>
    </row>
    <row r="1758" spans="1:6" x14ac:dyDescent="0.2">
      <c r="A1758">
        <v>736787.62390000001</v>
      </c>
      <c r="B1758">
        <v>-149.598972</v>
      </c>
      <c r="C1758">
        <v>-17.01924</v>
      </c>
      <c r="D1758">
        <v>143.651200053108</v>
      </c>
      <c r="E1758">
        <v>29.8</v>
      </c>
      <c r="F1758">
        <v>8.8655200028967904</v>
      </c>
    </row>
    <row r="1759" spans="1:6" x14ac:dyDescent="0.2">
      <c r="A1759">
        <v>736787.62390000001</v>
      </c>
      <c r="B1759">
        <v>-149.598961</v>
      </c>
      <c r="C1759">
        <v>-17.019247</v>
      </c>
      <c r="D1759">
        <v>143.651200053108</v>
      </c>
      <c r="E1759">
        <v>29.8</v>
      </c>
      <c r="F1759">
        <v>8.8655200028967904</v>
      </c>
    </row>
    <row r="1760" spans="1:6" x14ac:dyDescent="0.2">
      <c r="A1760">
        <v>736787.62390000001</v>
      </c>
      <c r="B1760">
        <v>-149.59895</v>
      </c>
      <c r="C1760">
        <v>-17.019254</v>
      </c>
      <c r="D1760">
        <v>143.651200053108</v>
      </c>
      <c r="E1760">
        <v>29.8</v>
      </c>
      <c r="F1760">
        <v>8.8655200028967904</v>
      </c>
    </row>
    <row r="1761" spans="1:6" x14ac:dyDescent="0.2">
      <c r="A1761">
        <v>736787.62390000001</v>
      </c>
      <c r="B1761">
        <v>-149.59894</v>
      </c>
      <c r="C1761">
        <v>-17.019259999999999</v>
      </c>
      <c r="D1761">
        <v>143.651200053108</v>
      </c>
      <c r="E1761">
        <v>29.8</v>
      </c>
      <c r="F1761">
        <v>8.8655200028967904</v>
      </c>
    </row>
    <row r="1762" spans="1:6" x14ac:dyDescent="0.2">
      <c r="A1762">
        <v>736787.62390000001</v>
      </c>
      <c r="B1762">
        <v>-149.59893</v>
      </c>
      <c r="C1762">
        <v>-17.019265000000001</v>
      </c>
      <c r="D1762">
        <v>143.651200053108</v>
      </c>
      <c r="E1762">
        <v>29.8</v>
      </c>
      <c r="F1762">
        <v>8.8655200028967904</v>
      </c>
    </row>
    <row r="1763" spans="1:6" x14ac:dyDescent="0.2">
      <c r="A1763">
        <v>736787.62399999995</v>
      </c>
      <c r="B1763">
        <v>-149.598919</v>
      </c>
      <c r="C1763">
        <v>-17.019269000000001</v>
      </c>
      <c r="D1763">
        <v>144.41999871253799</v>
      </c>
      <c r="E1763">
        <v>29.8</v>
      </c>
      <c r="F1763">
        <v>8.9091999227522702</v>
      </c>
    </row>
    <row r="1764" spans="1:6" x14ac:dyDescent="0.2">
      <c r="A1764">
        <v>736787.62399999995</v>
      </c>
      <c r="B1764">
        <v>-149.598907</v>
      </c>
      <c r="C1764">
        <v>-17.019272999999998</v>
      </c>
      <c r="D1764">
        <v>144.41999871253799</v>
      </c>
      <c r="E1764">
        <v>29.8</v>
      </c>
      <c r="F1764">
        <v>8.9091999227522702</v>
      </c>
    </row>
    <row r="1765" spans="1:6" x14ac:dyDescent="0.2">
      <c r="A1765">
        <v>736787.62399999995</v>
      </c>
      <c r="B1765">
        <v>-149.598896</v>
      </c>
      <c r="C1765">
        <v>-17.019276000000001</v>
      </c>
      <c r="D1765">
        <v>144.41999871253799</v>
      </c>
      <c r="E1765">
        <v>29.8</v>
      </c>
      <c r="F1765">
        <v>8.9091999227522702</v>
      </c>
    </row>
    <row r="1766" spans="1:6" x14ac:dyDescent="0.2">
      <c r="A1766">
        <v>736787.62399999995</v>
      </c>
      <c r="B1766">
        <v>-149.598885</v>
      </c>
      <c r="C1766">
        <v>-17.019279999999998</v>
      </c>
      <c r="D1766">
        <v>144.41999871253799</v>
      </c>
      <c r="E1766">
        <v>29.8</v>
      </c>
      <c r="F1766">
        <v>8.9091999227522702</v>
      </c>
    </row>
    <row r="1767" spans="1:6" x14ac:dyDescent="0.2">
      <c r="A1767">
        <v>736787.62399999995</v>
      </c>
      <c r="B1767">
        <v>-149.598872</v>
      </c>
      <c r="C1767">
        <v>-17.019285</v>
      </c>
      <c r="D1767">
        <v>144.41999871253799</v>
      </c>
      <c r="E1767">
        <v>29.8</v>
      </c>
      <c r="F1767">
        <v>8.9091999227522702</v>
      </c>
    </row>
    <row r="1768" spans="1:6" x14ac:dyDescent="0.2">
      <c r="A1768">
        <v>736787.62399999995</v>
      </c>
      <c r="B1768">
        <v>-149.59886299999999</v>
      </c>
      <c r="C1768">
        <v>-17.019288</v>
      </c>
      <c r="D1768">
        <v>144.41999871253799</v>
      </c>
      <c r="E1768">
        <v>29.8</v>
      </c>
      <c r="F1768">
        <v>8.9091999227522702</v>
      </c>
    </row>
    <row r="1769" spans="1:6" x14ac:dyDescent="0.2">
      <c r="A1769">
        <v>736787.62399999995</v>
      </c>
      <c r="B1769">
        <v>-149.59885199999999</v>
      </c>
      <c r="C1769">
        <v>-17.019293999999999</v>
      </c>
      <c r="D1769">
        <v>144.41999871253799</v>
      </c>
      <c r="E1769">
        <v>29.8</v>
      </c>
      <c r="F1769">
        <v>8.9091999227522702</v>
      </c>
    </row>
    <row r="1770" spans="1:6" x14ac:dyDescent="0.2">
      <c r="A1770">
        <v>736787.62399999995</v>
      </c>
      <c r="B1770">
        <v>-149.59884199999999</v>
      </c>
      <c r="C1770">
        <v>-17.019300999999999</v>
      </c>
      <c r="D1770">
        <v>144.41999871253799</v>
      </c>
      <c r="E1770">
        <v>29.8</v>
      </c>
      <c r="F1770">
        <v>8.9091999227522702</v>
      </c>
    </row>
    <row r="1771" spans="1:6" x14ac:dyDescent="0.2">
      <c r="A1771">
        <v>736787.62410000002</v>
      </c>
      <c r="B1771">
        <v>-149.59883300000001</v>
      </c>
      <c r="C1771">
        <v>-17.019307999999999</v>
      </c>
      <c r="D1771">
        <v>144.9</v>
      </c>
      <c r="E1771">
        <v>29.8</v>
      </c>
      <c r="F1771">
        <v>8.94</v>
      </c>
    </row>
    <row r="1772" spans="1:6" x14ac:dyDescent="0.2">
      <c r="A1772">
        <v>736787.62410000002</v>
      </c>
      <c r="B1772">
        <v>-149.59882300000001</v>
      </c>
      <c r="C1772">
        <v>-17.019311999999999</v>
      </c>
      <c r="D1772">
        <v>144.9</v>
      </c>
      <c r="E1772">
        <v>29.8</v>
      </c>
      <c r="F1772">
        <v>8.94</v>
      </c>
    </row>
    <row r="1773" spans="1:6" x14ac:dyDescent="0.2">
      <c r="A1773">
        <v>736787.62410000002</v>
      </c>
      <c r="B1773">
        <v>-149.59881200000001</v>
      </c>
      <c r="C1773">
        <v>-17.019317000000001</v>
      </c>
      <c r="D1773">
        <v>144.9</v>
      </c>
      <c r="E1773">
        <v>29.8</v>
      </c>
      <c r="F1773">
        <v>8.94</v>
      </c>
    </row>
    <row r="1774" spans="1:6" x14ac:dyDescent="0.2">
      <c r="A1774">
        <v>736787.62410000002</v>
      </c>
      <c r="B1774">
        <v>-149.59880000000001</v>
      </c>
      <c r="C1774">
        <v>-17.019324999999998</v>
      </c>
      <c r="D1774">
        <v>144.9</v>
      </c>
      <c r="E1774">
        <v>29.8</v>
      </c>
      <c r="F1774">
        <v>8.94</v>
      </c>
    </row>
    <row r="1775" spans="1:6" x14ac:dyDescent="0.2">
      <c r="A1775">
        <v>736787.62410000002</v>
      </c>
      <c r="B1775">
        <v>-149.59879000000001</v>
      </c>
      <c r="C1775">
        <v>-17.019331000000001</v>
      </c>
      <c r="D1775">
        <v>144.9</v>
      </c>
      <c r="E1775">
        <v>29.8</v>
      </c>
      <c r="F1775">
        <v>8.94</v>
      </c>
    </row>
    <row r="1776" spans="1:6" x14ac:dyDescent="0.2">
      <c r="A1776">
        <v>736787.62410000002</v>
      </c>
      <c r="B1776">
        <v>-149.59877900000001</v>
      </c>
      <c r="C1776">
        <v>-17.019338000000001</v>
      </c>
      <c r="D1776">
        <v>144.9</v>
      </c>
      <c r="E1776">
        <v>29.8</v>
      </c>
      <c r="F1776">
        <v>8.94</v>
      </c>
    </row>
    <row r="1777" spans="1:6" x14ac:dyDescent="0.2">
      <c r="A1777">
        <v>736787.62410000002</v>
      </c>
      <c r="B1777">
        <v>-149.59876800000001</v>
      </c>
      <c r="C1777">
        <v>-17.019348000000001</v>
      </c>
      <c r="D1777">
        <v>144.9</v>
      </c>
      <c r="E1777">
        <v>29.8</v>
      </c>
      <c r="F1777">
        <v>8.94</v>
      </c>
    </row>
    <row r="1778" spans="1:6" x14ac:dyDescent="0.2">
      <c r="A1778">
        <v>736787.62410000002</v>
      </c>
      <c r="B1778">
        <v>-149.59876</v>
      </c>
      <c r="C1778">
        <v>-17.019355000000001</v>
      </c>
      <c r="D1778">
        <v>144.9</v>
      </c>
      <c r="E1778">
        <v>29.8</v>
      </c>
      <c r="F1778">
        <v>8.94</v>
      </c>
    </row>
    <row r="1779" spans="1:6" x14ac:dyDescent="0.2">
      <c r="A1779">
        <v>736787.62410000002</v>
      </c>
      <c r="B1779">
        <v>-149.59875299999999</v>
      </c>
      <c r="C1779">
        <v>-17.019362999999998</v>
      </c>
      <c r="D1779">
        <v>144.9</v>
      </c>
      <c r="E1779">
        <v>29.8</v>
      </c>
      <c r="F1779">
        <v>8.94</v>
      </c>
    </row>
    <row r="1780" spans="1:6" x14ac:dyDescent="0.2">
      <c r="A1780">
        <v>736787.62419999996</v>
      </c>
      <c r="B1780">
        <v>-149.59874300000001</v>
      </c>
      <c r="C1780">
        <v>-17.019369999999999</v>
      </c>
      <c r="D1780">
        <v>144.822400030577</v>
      </c>
      <c r="E1780">
        <v>29.8</v>
      </c>
      <c r="F1780">
        <v>8.9322400030577196</v>
      </c>
    </row>
    <row r="1781" spans="1:6" x14ac:dyDescent="0.2">
      <c r="A1781">
        <v>736787.62419999996</v>
      </c>
      <c r="B1781">
        <v>-149.59872200000001</v>
      </c>
      <c r="C1781">
        <v>-17.019380999999999</v>
      </c>
      <c r="D1781">
        <v>144.822400030577</v>
      </c>
      <c r="E1781">
        <v>29.8</v>
      </c>
      <c r="F1781">
        <v>8.9322400030577196</v>
      </c>
    </row>
    <row r="1782" spans="1:6" x14ac:dyDescent="0.2">
      <c r="A1782">
        <v>736787.62419999996</v>
      </c>
      <c r="B1782">
        <v>-149.59871200000001</v>
      </c>
      <c r="C1782">
        <v>-17.019380999999999</v>
      </c>
      <c r="D1782">
        <v>144.822400030577</v>
      </c>
      <c r="E1782">
        <v>29.8</v>
      </c>
      <c r="F1782">
        <v>8.9322400030577196</v>
      </c>
    </row>
    <row r="1783" spans="1:6" x14ac:dyDescent="0.2">
      <c r="A1783">
        <v>736787.62419999996</v>
      </c>
      <c r="B1783">
        <v>-149.59869599999999</v>
      </c>
      <c r="C1783">
        <v>-17.019380999999999</v>
      </c>
      <c r="D1783">
        <v>144.822400030577</v>
      </c>
      <c r="E1783">
        <v>29.8</v>
      </c>
      <c r="F1783">
        <v>8.9322400030577196</v>
      </c>
    </row>
    <row r="1784" spans="1:6" x14ac:dyDescent="0.2">
      <c r="A1784">
        <v>736787.62419999996</v>
      </c>
      <c r="B1784">
        <v>-149.59866400000001</v>
      </c>
      <c r="C1784">
        <v>-17.019397999999999</v>
      </c>
      <c r="D1784">
        <v>144.822400030577</v>
      </c>
      <c r="E1784">
        <v>29.8</v>
      </c>
      <c r="F1784">
        <v>8.9322400030577196</v>
      </c>
    </row>
    <row r="1785" spans="1:6" x14ac:dyDescent="0.2">
      <c r="A1785">
        <v>736787.62430000002</v>
      </c>
      <c r="B1785">
        <v>-149.598645</v>
      </c>
      <c r="C1785">
        <v>-17.019409</v>
      </c>
      <c r="D1785">
        <v>143.9</v>
      </c>
      <c r="E1785">
        <v>29.8</v>
      </c>
      <c r="F1785">
        <v>8.8800000000000008</v>
      </c>
    </row>
    <row r="1786" spans="1:6" x14ac:dyDescent="0.2">
      <c r="A1786">
        <v>736787.62430000002</v>
      </c>
      <c r="B1786">
        <v>-149.59863100000001</v>
      </c>
      <c r="C1786">
        <v>-17.019418000000002</v>
      </c>
      <c r="D1786">
        <v>143.9</v>
      </c>
      <c r="E1786">
        <v>29.8</v>
      </c>
      <c r="F1786">
        <v>8.8800000000000008</v>
      </c>
    </row>
    <row r="1787" spans="1:6" x14ac:dyDescent="0.2">
      <c r="A1787">
        <v>736787.62430000002</v>
      </c>
      <c r="B1787">
        <v>-149.59862100000001</v>
      </c>
      <c r="C1787">
        <v>-17.01942</v>
      </c>
      <c r="D1787">
        <v>143.9</v>
      </c>
      <c r="E1787">
        <v>29.8</v>
      </c>
      <c r="F1787">
        <v>8.8800000000000008</v>
      </c>
    </row>
    <row r="1788" spans="1:6" x14ac:dyDescent="0.2">
      <c r="A1788">
        <v>736787.62430000002</v>
      </c>
      <c r="B1788">
        <v>-149.59859399999999</v>
      </c>
      <c r="C1788">
        <v>-17.019434</v>
      </c>
      <c r="D1788">
        <v>143.9</v>
      </c>
      <c r="E1788">
        <v>29.8</v>
      </c>
      <c r="F1788">
        <v>8.8800000000000008</v>
      </c>
    </row>
    <row r="1789" spans="1:6" x14ac:dyDescent="0.2">
      <c r="A1789">
        <v>736787.62430000002</v>
      </c>
      <c r="B1789">
        <v>-149.59858299999999</v>
      </c>
      <c r="C1789">
        <v>-17.019438000000001</v>
      </c>
      <c r="D1789">
        <v>143.9</v>
      </c>
      <c r="E1789">
        <v>29.8</v>
      </c>
      <c r="F1789">
        <v>8.8800000000000008</v>
      </c>
    </row>
    <row r="1790" spans="1:6" x14ac:dyDescent="0.2">
      <c r="A1790">
        <v>736787.62430000002</v>
      </c>
      <c r="B1790">
        <v>-149.59857</v>
      </c>
      <c r="C1790">
        <v>-17.019439999999999</v>
      </c>
      <c r="D1790">
        <v>143.9</v>
      </c>
      <c r="E1790">
        <v>29.8</v>
      </c>
      <c r="F1790">
        <v>8.8800000000000008</v>
      </c>
    </row>
    <row r="1791" spans="1:6" x14ac:dyDescent="0.2">
      <c r="A1791">
        <v>736787.62439999997</v>
      </c>
      <c r="B1791">
        <v>-149.598555</v>
      </c>
      <c r="C1791">
        <v>-17.019448000000001</v>
      </c>
      <c r="D1791">
        <v>144.255200230133</v>
      </c>
      <c r="E1791">
        <v>29.9</v>
      </c>
      <c r="F1791">
        <v>8.8962400146448495</v>
      </c>
    </row>
    <row r="1792" spans="1:6" x14ac:dyDescent="0.2">
      <c r="A1792">
        <v>736787.62439999997</v>
      </c>
      <c r="B1792">
        <v>-149.59853899999999</v>
      </c>
      <c r="C1792">
        <v>-17.019452000000001</v>
      </c>
      <c r="D1792">
        <v>144.255200230133</v>
      </c>
      <c r="E1792">
        <v>29.9</v>
      </c>
      <c r="F1792">
        <v>8.8962400146448495</v>
      </c>
    </row>
    <row r="1793" spans="1:6" x14ac:dyDescent="0.2">
      <c r="A1793">
        <v>736787.62439999997</v>
      </c>
      <c r="B1793">
        <v>-149.59852599999999</v>
      </c>
      <c r="C1793">
        <v>-17.019454</v>
      </c>
      <c r="D1793">
        <v>144.255200230133</v>
      </c>
      <c r="E1793">
        <v>29.9</v>
      </c>
      <c r="F1793">
        <v>8.8962400146448495</v>
      </c>
    </row>
    <row r="1794" spans="1:6" x14ac:dyDescent="0.2">
      <c r="A1794">
        <v>736787.62439999997</v>
      </c>
      <c r="B1794">
        <v>-149.59851</v>
      </c>
      <c r="C1794">
        <v>-17.019458</v>
      </c>
      <c r="D1794">
        <v>144.255200230133</v>
      </c>
      <c r="E1794">
        <v>29.9</v>
      </c>
      <c r="F1794">
        <v>8.8962400146448495</v>
      </c>
    </row>
    <row r="1795" spans="1:6" x14ac:dyDescent="0.2">
      <c r="A1795">
        <v>736787.62439999997</v>
      </c>
      <c r="B1795">
        <v>-149.59849500000001</v>
      </c>
      <c r="C1795">
        <v>-17.019458</v>
      </c>
      <c r="D1795">
        <v>144.255200230133</v>
      </c>
      <c r="E1795">
        <v>29.9</v>
      </c>
      <c r="F1795">
        <v>8.8962400146448495</v>
      </c>
    </row>
    <row r="1796" spans="1:6" x14ac:dyDescent="0.2">
      <c r="A1796">
        <v>736787.62439999997</v>
      </c>
      <c r="B1796">
        <v>-149.59847600000001</v>
      </c>
      <c r="C1796">
        <v>-17.019456000000002</v>
      </c>
      <c r="D1796">
        <v>144.255200230133</v>
      </c>
      <c r="E1796">
        <v>29.9</v>
      </c>
      <c r="F1796">
        <v>8.8962400146448495</v>
      </c>
    </row>
    <row r="1797" spans="1:6" x14ac:dyDescent="0.2">
      <c r="A1797">
        <v>736787.62439999997</v>
      </c>
      <c r="B1797">
        <v>-149.59845799999999</v>
      </c>
      <c r="C1797">
        <v>-17.019452000000001</v>
      </c>
      <c r="D1797">
        <v>144.255200230133</v>
      </c>
      <c r="E1797">
        <v>29.9</v>
      </c>
      <c r="F1797">
        <v>8.8962400146448495</v>
      </c>
    </row>
    <row r="1798" spans="1:6" x14ac:dyDescent="0.2">
      <c r="A1798">
        <v>736787.62439999997</v>
      </c>
      <c r="B1798">
        <v>-149.598445</v>
      </c>
      <c r="C1798">
        <v>-17.019444</v>
      </c>
      <c r="D1798">
        <v>144.255200230133</v>
      </c>
      <c r="E1798">
        <v>29.9</v>
      </c>
      <c r="F1798">
        <v>8.8962400146448495</v>
      </c>
    </row>
    <row r="1799" spans="1:6" x14ac:dyDescent="0.2">
      <c r="A1799">
        <v>736787.62450000003</v>
      </c>
      <c r="B1799">
        <v>-149.598433</v>
      </c>
      <c r="C1799">
        <v>-17.019444</v>
      </c>
      <c r="D1799">
        <v>146.44400033795799</v>
      </c>
      <c r="E1799">
        <v>29.9</v>
      </c>
      <c r="F1799">
        <v>9.0268000193118905</v>
      </c>
    </row>
    <row r="1800" spans="1:6" x14ac:dyDescent="0.2">
      <c r="A1800">
        <v>736787.62450000003</v>
      </c>
      <c r="B1800">
        <v>-149.598421</v>
      </c>
      <c r="C1800">
        <v>-17.019444</v>
      </c>
      <c r="D1800">
        <v>146.44400033795799</v>
      </c>
      <c r="E1800">
        <v>29.9</v>
      </c>
      <c r="F1800">
        <v>9.0268000193118905</v>
      </c>
    </row>
    <row r="1801" spans="1:6" x14ac:dyDescent="0.2">
      <c r="A1801">
        <v>736787.62450000003</v>
      </c>
      <c r="B1801">
        <v>-149.59840800000001</v>
      </c>
      <c r="C1801">
        <v>-17.019445999999999</v>
      </c>
      <c r="D1801">
        <v>146.44400033795799</v>
      </c>
      <c r="E1801">
        <v>29.9</v>
      </c>
      <c r="F1801">
        <v>9.0268000193118905</v>
      </c>
    </row>
    <row r="1802" spans="1:6" x14ac:dyDescent="0.2">
      <c r="A1802">
        <v>736787.62450000003</v>
      </c>
      <c r="B1802">
        <v>-149.59839600000001</v>
      </c>
      <c r="C1802">
        <v>-17.019445999999999</v>
      </c>
      <c r="D1802">
        <v>146.44400033795799</v>
      </c>
      <c r="E1802">
        <v>29.9</v>
      </c>
      <c r="F1802">
        <v>9.0268000193118905</v>
      </c>
    </row>
    <row r="1803" spans="1:6" x14ac:dyDescent="0.2">
      <c r="A1803">
        <v>736787.62450000003</v>
      </c>
      <c r="B1803">
        <v>-149.59838500000001</v>
      </c>
      <c r="C1803">
        <v>-17.019452000000001</v>
      </c>
      <c r="D1803">
        <v>146.44400033795799</v>
      </c>
      <c r="E1803">
        <v>29.9</v>
      </c>
      <c r="F1803">
        <v>9.0268000193118905</v>
      </c>
    </row>
    <row r="1804" spans="1:6" x14ac:dyDescent="0.2">
      <c r="A1804">
        <v>736787.62450000003</v>
      </c>
      <c r="B1804">
        <v>-149.598367</v>
      </c>
      <c r="C1804">
        <v>-17.019458</v>
      </c>
      <c r="D1804">
        <v>146.44400033795799</v>
      </c>
      <c r="E1804">
        <v>29.9</v>
      </c>
      <c r="F1804">
        <v>9.0268000193118905</v>
      </c>
    </row>
    <row r="1805" spans="1:6" x14ac:dyDescent="0.2">
      <c r="A1805">
        <v>736787.62450000003</v>
      </c>
      <c r="B1805">
        <v>-149.59835699999999</v>
      </c>
      <c r="C1805">
        <v>-17.019462000000001</v>
      </c>
      <c r="D1805">
        <v>146.44400033795799</v>
      </c>
      <c r="E1805">
        <v>29.9</v>
      </c>
      <c r="F1805">
        <v>9.0268000193118905</v>
      </c>
    </row>
    <row r="1806" spans="1:6" x14ac:dyDescent="0.2">
      <c r="A1806">
        <v>736787.62450000003</v>
      </c>
      <c r="B1806">
        <v>-149.59834699999999</v>
      </c>
      <c r="C1806">
        <v>-17.019468</v>
      </c>
      <c r="D1806">
        <v>146.44400033795799</v>
      </c>
      <c r="E1806">
        <v>29.9</v>
      </c>
      <c r="F1806">
        <v>9.0268000193118905</v>
      </c>
    </row>
    <row r="1807" spans="1:6" x14ac:dyDescent="0.2">
      <c r="A1807">
        <v>736787.62459999998</v>
      </c>
      <c r="B1807">
        <v>-149.59833699999999</v>
      </c>
      <c r="C1807">
        <v>-17.019469999999998</v>
      </c>
      <c r="D1807">
        <v>147.76959939811101</v>
      </c>
      <c r="E1807">
        <v>30</v>
      </c>
      <c r="F1807">
        <v>9.0956799610542696</v>
      </c>
    </row>
    <row r="1808" spans="1:6" x14ac:dyDescent="0.2">
      <c r="A1808">
        <v>736787.62459999998</v>
      </c>
      <c r="B1808">
        <v>-149.59832900000001</v>
      </c>
      <c r="C1808">
        <v>-17.019476000000001</v>
      </c>
      <c r="D1808">
        <v>147.76959939811101</v>
      </c>
      <c r="E1808">
        <v>30</v>
      </c>
      <c r="F1808">
        <v>9.0956799610542696</v>
      </c>
    </row>
    <row r="1809" spans="1:6" x14ac:dyDescent="0.2">
      <c r="A1809">
        <v>736787.62459999998</v>
      </c>
      <c r="B1809">
        <v>-149.59830400000001</v>
      </c>
      <c r="C1809">
        <v>-17.019487999999999</v>
      </c>
      <c r="D1809">
        <v>147.76959939811101</v>
      </c>
      <c r="E1809">
        <v>30</v>
      </c>
      <c r="F1809">
        <v>9.0956799610542696</v>
      </c>
    </row>
    <row r="1810" spans="1:6" x14ac:dyDescent="0.2">
      <c r="A1810">
        <v>736787.62459999998</v>
      </c>
      <c r="B1810">
        <v>-149.59829500000001</v>
      </c>
      <c r="C1810">
        <v>-17.019494000000002</v>
      </c>
      <c r="D1810">
        <v>147.76959939811101</v>
      </c>
      <c r="E1810">
        <v>30</v>
      </c>
      <c r="F1810">
        <v>9.0956799610542696</v>
      </c>
    </row>
    <row r="1811" spans="1:6" x14ac:dyDescent="0.2">
      <c r="A1811">
        <v>736787.62459999998</v>
      </c>
      <c r="B1811">
        <v>-149.59827999999999</v>
      </c>
      <c r="C1811">
        <v>-17.019500000000001</v>
      </c>
      <c r="D1811">
        <v>147.76959939811101</v>
      </c>
      <c r="E1811">
        <v>30</v>
      </c>
      <c r="F1811">
        <v>9.0956799610542696</v>
      </c>
    </row>
    <row r="1812" spans="1:6" x14ac:dyDescent="0.2">
      <c r="A1812">
        <v>736787.62459999998</v>
      </c>
      <c r="B1812">
        <v>-149.598252</v>
      </c>
      <c r="C1812">
        <v>-17.019521999999998</v>
      </c>
      <c r="D1812">
        <v>147.76959939811101</v>
      </c>
      <c r="E1812">
        <v>30</v>
      </c>
      <c r="F1812">
        <v>9.0956799610542696</v>
      </c>
    </row>
    <row r="1813" spans="1:6" x14ac:dyDescent="0.2">
      <c r="A1813">
        <v>736787.62470000004</v>
      </c>
      <c r="B1813">
        <v>-149.59823399999999</v>
      </c>
      <c r="C1813">
        <v>-17.019534</v>
      </c>
      <c r="D1813">
        <v>149.1</v>
      </c>
      <c r="E1813">
        <v>30</v>
      </c>
      <c r="F1813">
        <v>9.18</v>
      </c>
    </row>
    <row r="1814" spans="1:6" x14ac:dyDescent="0.2">
      <c r="A1814">
        <v>736787.62470000004</v>
      </c>
      <c r="B1814">
        <v>-149.598221</v>
      </c>
      <c r="C1814">
        <v>-17.019545999999998</v>
      </c>
      <c r="D1814">
        <v>149.1</v>
      </c>
      <c r="E1814">
        <v>30</v>
      </c>
      <c r="F1814">
        <v>9.18</v>
      </c>
    </row>
    <row r="1815" spans="1:6" x14ac:dyDescent="0.2">
      <c r="A1815">
        <v>736787.62470000004</v>
      </c>
      <c r="B1815">
        <v>-149.59820199999999</v>
      </c>
      <c r="C1815">
        <v>-17.019556000000001</v>
      </c>
      <c r="D1815">
        <v>149.1</v>
      </c>
      <c r="E1815">
        <v>30</v>
      </c>
      <c r="F1815">
        <v>9.18</v>
      </c>
    </row>
    <row r="1816" spans="1:6" x14ac:dyDescent="0.2">
      <c r="A1816">
        <v>736787.62470000004</v>
      </c>
      <c r="B1816">
        <v>-149.598185</v>
      </c>
      <c r="C1816">
        <v>-17.019562000000001</v>
      </c>
      <c r="D1816">
        <v>149.1</v>
      </c>
      <c r="E1816">
        <v>30</v>
      </c>
      <c r="F1816">
        <v>9.18</v>
      </c>
    </row>
    <row r="1817" spans="1:6" x14ac:dyDescent="0.2">
      <c r="A1817">
        <v>736787.62470000004</v>
      </c>
      <c r="B1817">
        <v>-149.59815499999999</v>
      </c>
      <c r="C1817">
        <v>-17.019568</v>
      </c>
      <c r="D1817">
        <v>149.1</v>
      </c>
      <c r="E1817">
        <v>30</v>
      </c>
      <c r="F1817">
        <v>9.18</v>
      </c>
    </row>
    <row r="1818" spans="1:6" x14ac:dyDescent="0.2">
      <c r="A1818">
        <v>736787.62479999999</v>
      </c>
      <c r="B1818">
        <v>-149.59814</v>
      </c>
      <c r="C1818">
        <v>-17.019572</v>
      </c>
      <c r="D1818">
        <v>150.144800574529</v>
      </c>
      <c r="E1818">
        <v>30.014400033795798</v>
      </c>
      <c r="F1818">
        <v>9.2429600304162296</v>
      </c>
    </row>
    <row r="1819" spans="1:6" x14ac:dyDescent="0.2">
      <c r="A1819">
        <v>736787.62479999999</v>
      </c>
      <c r="B1819">
        <v>-149.59812500000001</v>
      </c>
      <c r="C1819">
        <v>-17.019576000000001</v>
      </c>
      <c r="D1819">
        <v>150.144800574529</v>
      </c>
      <c r="E1819">
        <v>30.014400033795798</v>
      </c>
      <c r="F1819">
        <v>9.2429600304162296</v>
      </c>
    </row>
    <row r="1820" spans="1:6" x14ac:dyDescent="0.2">
      <c r="A1820">
        <v>736787.62479999999</v>
      </c>
      <c r="B1820">
        <v>-149.598116</v>
      </c>
      <c r="C1820">
        <v>-17.019580000000001</v>
      </c>
      <c r="D1820">
        <v>150.144800574529</v>
      </c>
      <c r="E1820">
        <v>30.014400033795798</v>
      </c>
      <c r="F1820">
        <v>9.2429600304162296</v>
      </c>
    </row>
    <row r="1821" spans="1:6" x14ac:dyDescent="0.2">
      <c r="A1821">
        <v>736787.62479999999</v>
      </c>
      <c r="B1821">
        <v>-149.598106</v>
      </c>
      <c r="C1821">
        <v>-17.019583999999998</v>
      </c>
      <c r="D1821">
        <v>150.144800574529</v>
      </c>
      <c r="E1821">
        <v>30.014400033795798</v>
      </c>
      <c r="F1821">
        <v>9.2429600304162296</v>
      </c>
    </row>
    <row r="1822" spans="1:6" x14ac:dyDescent="0.2">
      <c r="A1822">
        <v>736787.62479999999</v>
      </c>
      <c r="B1822">
        <v>-149.598094</v>
      </c>
      <c r="C1822">
        <v>-17.019590000000001</v>
      </c>
      <c r="D1822">
        <v>150.144800574529</v>
      </c>
      <c r="E1822">
        <v>30.014400033795798</v>
      </c>
      <c r="F1822">
        <v>9.2429600304162296</v>
      </c>
    </row>
    <row r="1823" spans="1:6" x14ac:dyDescent="0.2">
      <c r="A1823">
        <v>736787.62479999999</v>
      </c>
      <c r="B1823">
        <v>-149.59808699999999</v>
      </c>
      <c r="C1823">
        <v>-17.019600000000001</v>
      </c>
      <c r="D1823">
        <v>150.144800574529</v>
      </c>
      <c r="E1823">
        <v>30.014400033795798</v>
      </c>
      <c r="F1823">
        <v>9.2429600304162296</v>
      </c>
    </row>
    <row r="1824" spans="1:6" x14ac:dyDescent="0.2">
      <c r="A1824">
        <v>736787.62479999999</v>
      </c>
      <c r="B1824">
        <v>-149.59807799999999</v>
      </c>
      <c r="C1824">
        <v>-17.019604000000001</v>
      </c>
      <c r="D1824">
        <v>150.144800574529</v>
      </c>
      <c r="E1824">
        <v>30.014400033795798</v>
      </c>
      <c r="F1824">
        <v>9.2429600304162296</v>
      </c>
    </row>
    <row r="1825" spans="1:6" x14ac:dyDescent="0.2">
      <c r="A1825">
        <v>736787.62479999999</v>
      </c>
      <c r="B1825">
        <v>-149.59806900000001</v>
      </c>
      <c r="C1825">
        <v>-17.019606</v>
      </c>
      <c r="D1825">
        <v>150.144800574529</v>
      </c>
      <c r="E1825">
        <v>30.014400033795798</v>
      </c>
      <c r="F1825">
        <v>9.2429600304162296</v>
      </c>
    </row>
    <row r="1826" spans="1:6" x14ac:dyDescent="0.2">
      <c r="A1826">
        <v>736787.62479999999</v>
      </c>
      <c r="B1826">
        <v>-149.59805900000001</v>
      </c>
      <c r="C1826">
        <v>-17.019614000000001</v>
      </c>
      <c r="D1826">
        <v>150.144800574529</v>
      </c>
      <c r="E1826">
        <v>30.014400033795798</v>
      </c>
      <c r="F1826">
        <v>9.2429600304162296</v>
      </c>
    </row>
    <row r="1827" spans="1:6" x14ac:dyDescent="0.2">
      <c r="A1827">
        <v>736787.62490000005</v>
      </c>
      <c r="B1827">
        <v>-149.59804800000001</v>
      </c>
      <c r="C1827">
        <v>-17.019618000000001</v>
      </c>
      <c r="D1827">
        <v>151.6</v>
      </c>
      <c r="E1827">
        <v>30.1</v>
      </c>
      <c r="F1827">
        <v>9.32</v>
      </c>
    </row>
    <row r="1828" spans="1:6" x14ac:dyDescent="0.2">
      <c r="A1828">
        <v>736787.62490000005</v>
      </c>
      <c r="B1828">
        <v>-149.59804</v>
      </c>
      <c r="C1828">
        <v>-17.019624</v>
      </c>
      <c r="D1828">
        <v>151.6</v>
      </c>
      <c r="E1828">
        <v>30.1</v>
      </c>
      <c r="F1828">
        <v>9.32</v>
      </c>
    </row>
    <row r="1829" spans="1:6" x14ac:dyDescent="0.2">
      <c r="A1829">
        <v>736787.62490000005</v>
      </c>
      <c r="B1829">
        <v>-149.598029</v>
      </c>
      <c r="C1829">
        <v>-17.019629999999999</v>
      </c>
      <c r="D1829">
        <v>151.6</v>
      </c>
      <c r="E1829">
        <v>30.1</v>
      </c>
      <c r="F1829">
        <v>9.32</v>
      </c>
    </row>
    <row r="1830" spans="1:6" x14ac:dyDescent="0.2">
      <c r="A1830">
        <v>736787.62490000005</v>
      </c>
      <c r="B1830">
        <v>-149.59802099999999</v>
      </c>
      <c r="C1830">
        <v>-17.019635999999998</v>
      </c>
      <c r="D1830">
        <v>151.6</v>
      </c>
      <c r="E1830">
        <v>30.1</v>
      </c>
      <c r="F1830">
        <v>9.32</v>
      </c>
    </row>
    <row r="1831" spans="1:6" x14ac:dyDescent="0.2">
      <c r="A1831">
        <v>736787.62490000005</v>
      </c>
      <c r="B1831">
        <v>-149.59801400000001</v>
      </c>
      <c r="C1831">
        <v>-17.019644</v>
      </c>
      <c r="D1831">
        <v>151.6</v>
      </c>
      <c r="E1831">
        <v>30.1</v>
      </c>
      <c r="F1831">
        <v>9.32</v>
      </c>
    </row>
    <row r="1832" spans="1:6" x14ac:dyDescent="0.2">
      <c r="A1832">
        <v>736787.62490000005</v>
      </c>
      <c r="B1832">
        <v>-149.59799899999999</v>
      </c>
      <c r="C1832">
        <v>-17.019653999999999</v>
      </c>
      <c r="D1832">
        <v>151.6</v>
      </c>
      <c r="E1832">
        <v>30.1</v>
      </c>
      <c r="F1832">
        <v>9.32</v>
      </c>
    </row>
    <row r="1833" spans="1:6" x14ac:dyDescent="0.2">
      <c r="A1833">
        <v>736787.62490000005</v>
      </c>
      <c r="B1833">
        <v>-149.59798799999999</v>
      </c>
      <c r="C1833">
        <v>-17.019659999999998</v>
      </c>
      <c r="D1833">
        <v>151.6</v>
      </c>
      <c r="E1833">
        <v>30.1</v>
      </c>
      <c r="F1833">
        <v>9.32</v>
      </c>
    </row>
    <row r="1834" spans="1:6" x14ac:dyDescent="0.2">
      <c r="A1834">
        <v>736787.625</v>
      </c>
      <c r="B1834">
        <v>-149.59796800000001</v>
      </c>
      <c r="C1834">
        <v>-17.019662</v>
      </c>
      <c r="D1834">
        <v>154.18000052303</v>
      </c>
      <c r="E1834">
        <v>30.1</v>
      </c>
      <c r="F1834">
        <v>9.4720000281631798</v>
      </c>
    </row>
    <row r="1835" spans="1:6" x14ac:dyDescent="0.2">
      <c r="A1835">
        <v>736787.625</v>
      </c>
      <c r="B1835">
        <v>-149.59795</v>
      </c>
      <c r="C1835">
        <v>-17.019666000000001</v>
      </c>
      <c r="D1835">
        <v>154.18000052303</v>
      </c>
      <c r="E1835">
        <v>30.1</v>
      </c>
      <c r="F1835">
        <v>9.4720000281631798</v>
      </c>
    </row>
    <row r="1836" spans="1:6" x14ac:dyDescent="0.2">
      <c r="A1836">
        <v>736787.625</v>
      </c>
      <c r="B1836">
        <v>-149.59793300000001</v>
      </c>
      <c r="C1836">
        <v>-17.019667999999999</v>
      </c>
      <c r="D1836">
        <v>154.18000052303</v>
      </c>
      <c r="E1836">
        <v>30.1</v>
      </c>
      <c r="F1836">
        <v>9.4720000281631798</v>
      </c>
    </row>
    <row r="1837" spans="1:6" x14ac:dyDescent="0.2">
      <c r="A1837">
        <v>736787.625</v>
      </c>
      <c r="B1837">
        <v>-149.597914</v>
      </c>
      <c r="C1837">
        <v>-17.019673000000001</v>
      </c>
      <c r="D1837">
        <v>154.18000052303</v>
      </c>
      <c r="E1837">
        <v>30.1</v>
      </c>
      <c r="F1837">
        <v>9.4720000281631798</v>
      </c>
    </row>
    <row r="1838" spans="1:6" x14ac:dyDescent="0.2">
      <c r="A1838">
        <v>736787.625</v>
      </c>
      <c r="B1838">
        <v>-149.597903</v>
      </c>
      <c r="C1838">
        <v>-17.019674999999999</v>
      </c>
      <c r="D1838">
        <v>154.18000052303</v>
      </c>
      <c r="E1838">
        <v>30.1</v>
      </c>
      <c r="F1838">
        <v>9.4720000281631798</v>
      </c>
    </row>
    <row r="1839" spans="1:6" x14ac:dyDescent="0.2">
      <c r="A1839">
        <v>736787.625</v>
      </c>
      <c r="B1839">
        <v>-149.597893</v>
      </c>
      <c r="C1839">
        <v>-17.019677000000001</v>
      </c>
      <c r="D1839">
        <v>154.18000052303</v>
      </c>
      <c r="E1839">
        <v>30.1</v>
      </c>
      <c r="F1839">
        <v>9.4720000281631798</v>
      </c>
    </row>
    <row r="1840" spans="1:6" x14ac:dyDescent="0.2">
      <c r="A1840">
        <v>736787.625</v>
      </c>
      <c r="B1840">
        <v>-149.597882</v>
      </c>
      <c r="C1840">
        <v>-17.019680999999999</v>
      </c>
      <c r="D1840">
        <v>154.18000052303</v>
      </c>
      <c r="E1840">
        <v>30.1</v>
      </c>
      <c r="F1840">
        <v>9.4720000281631798</v>
      </c>
    </row>
    <row r="1841" spans="1:6" x14ac:dyDescent="0.2">
      <c r="A1841">
        <v>736787.62509999995</v>
      </c>
      <c r="B1841">
        <v>-149.597871</v>
      </c>
      <c r="C1841">
        <v>-17.019687999999999</v>
      </c>
      <c r="D1841">
        <v>155.02799908268301</v>
      </c>
      <c r="E1841">
        <v>30.2</v>
      </c>
      <c r="F1841">
        <v>9.5196799449609895</v>
      </c>
    </row>
    <row r="1842" spans="1:6" x14ac:dyDescent="0.2">
      <c r="A1842">
        <v>736787.62509999995</v>
      </c>
      <c r="B1842">
        <v>-149.597858</v>
      </c>
      <c r="C1842">
        <v>-17.019693</v>
      </c>
      <c r="D1842">
        <v>155.02799908268301</v>
      </c>
      <c r="E1842">
        <v>30.2</v>
      </c>
      <c r="F1842">
        <v>9.5196799449609895</v>
      </c>
    </row>
    <row r="1843" spans="1:6" x14ac:dyDescent="0.2">
      <c r="A1843">
        <v>736787.62509999995</v>
      </c>
      <c r="B1843">
        <v>-149.59784500000001</v>
      </c>
      <c r="C1843">
        <v>-17.019694000000001</v>
      </c>
      <c r="D1843">
        <v>155.02799908268301</v>
      </c>
      <c r="E1843">
        <v>30.2</v>
      </c>
      <c r="F1843">
        <v>9.5196799449609895</v>
      </c>
    </row>
    <row r="1844" spans="1:6" x14ac:dyDescent="0.2">
      <c r="A1844">
        <v>736787.62509999995</v>
      </c>
      <c r="B1844">
        <v>-149.597815</v>
      </c>
      <c r="C1844">
        <v>-17.019703</v>
      </c>
      <c r="D1844">
        <v>155.02799908268301</v>
      </c>
      <c r="E1844">
        <v>30.2</v>
      </c>
      <c r="F1844">
        <v>9.5196799449609895</v>
      </c>
    </row>
    <row r="1845" spans="1:6" x14ac:dyDescent="0.2">
      <c r="A1845">
        <v>736787.62509999995</v>
      </c>
      <c r="B1845">
        <v>-149.597802</v>
      </c>
      <c r="C1845">
        <v>-17.019704999999998</v>
      </c>
      <c r="D1845">
        <v>155.02799908268301</v>
      </c>
      <c r="E1845">
        <v>30.2</v>
      </c>
      <c r="F1845">
        <v>9.5196799449609895</v>
      </c>
    </row>
    <row r="1846" spans="1:6" x14ac:dyDescent="0.2">
      <c r="A1846">
        <v>736787.62509999995</v>
      </c>
      <c r="B1846">
        <v>-149.59779</v>
      </c>
      <c r="C1846">
        <v>-17.019708000000001</v>
      </c>
      <c r="D1846">
        <v>155.02799908268301</v>
      </c>
      <c r="E1846">
        <v>30.2</v>
      </c>
      <c r="F1846">
        <v>9.5196799449609895</v>
      </c>
    </row>
    <row r="1847" spans="1:6" x14ac:dyDescent="0.2">
      <c r="A1847">
        <v>736787.62509999995</v>
      </c>
      <c r="B1847">
        <v>-149.59777800000001</v>
      </c>
      <c r="C1847">
        <v>-17.019708000000001</v>
      </c>
      <c r="D1847">
        <v>155.02799908268301</v>
      </c>
      <c r="E1847">
        <v>30.2</v>
      </c>
      <c r="F1847">
        <v>9.5196799449609895</v>
      </c>
    </row>
    <row r="1848" spans="1:6" x14ac:dyDescent="0.2">
      <c r="A1848">
        <v>736787.62520000001</v>
      </c>
      <c r="B1848">
        <v>-149.597767</v>
      </c>
      <c r="C1848">
        <v>-17.01971</v>
      </c>
      <c r="D1848">
        <v>156.371999766648</v>
      </c>
      <c r="E1848">
        <v>30.2</v>
      </c>
      <c r="F1848">
        <v>9.5983199859988808</v>
      </c>
    </row>
    <row r="1849" spans="1:6" x14ac:dyDescent="0.2">
      <c r="A1849">
        <v>736787.62520000001</v>
      </c>
      <c r="B1849">
        <v>-149.59775400000001</v>
      </c>
      <c r="C1849">
        <v>-17.019718000000001</v>
      </c>
      <c r="D1849">
        <v>156.371999766648</v>
      </c>
      <c r="E1849">
        <v>30.2</v>
      </c>
      <c r="F1849">
        <v>9.5983199859988808</v>
      </c>
    </row>
    <row r="1850" spans="1:6" x14ac:dyDescent="0.2">
      <c r="A1850">
        <v>736787.62520000001</v>
      </c>
      <c r="B1850">
        <v>-149.59773200000001</v>
      </c>
      <c r="C1850">
        <v>-17.019728000000001</v>
      </c>
      <c r="D1850">
        <v>156.371999766648</v>
      </c>
      <c r="E1850">
        <v>30.2</v>
      </c>
      <c r="F1850">
        <v>9.5983199859988808</v>
      </c>
    </row>
    <row r="1851" spans="1:6" x14ac:dyDescent="0.2">
      <c r="A1851">
        <v>736787.62520000001</v>
      </c>
      <c r="B1851">
        <v>-149.59770900000001</v>
      </c>
      <c r="C1851">
        <v>-17.019745</v>
      </c>
      <c r="D1851">
        <v>156.371999766648</v>
      </c>
      <c r="E1851">
        <v>30.2</v>
      </c>
      <c r="F1851">
        <v>9.5983199859988808</v>
      </c>
    </row>
    <row r="1852" spans="1:6" x14ac:dyDescent="0.2">
      <c r="A1852">
        <v>736787.62520000001</v>
      </c>
      <c r="B1852">
        <v>-149.597692</v>
      </c>
      <c r="C1852">
        <v>-17.019753999999999</v>
      </c>
      <c r="D1852">
        <v>156.371999766648</v>
      </c>
      <c r="E1852">
        <v>30.2</v>
      </c>
      <c r="F1852">
        <v>9.5983199859988808</v>
      </c>
    </row>
    <row r="1853" spans="1:6" x14ac:dyDescent="0.2">
      <c r="A1853">
        <v>736787.62520000001</v>
      </c>
      <c r="B1853">
        <v>-149.59768099999999</v>
      </c>
      <c r="C1853">
        <v>-17.019756999999998</v>
      </c>
      <c r="D1853">
        <v>156.371999766648</v>
      </c>
      <c r="E1853">
        <v>30.2</v>
      </c>
      <c r="F1853">
        <v>9.5983199859988808</v>
      </c>
    </row>
    <row r="1854" spans="1:6" x14ac:dyDescent="0.2">
      <c r="A1854">
        <v>736787.62529999996</v>
      </c>
      <c r="B1854">
        <v>-149.597666</v>
      </c>
      <c r="C1854">
        <v>-17.019767000000002</v>
      </c>
      <c r="D1854">
        <v>155.9</v>
      </c>
      <c r="E1854">
        <v>30.2</v>
      </c>
      <c r="F1854">
        <v>9.57</v>
      </c>
    </row>
    <row r="1855" spans="1:6" x14ac:dyDescent="0.2">
      <c r="A1855">
        <v>736787.62529999996</v>
      </c>
      <c r="B1855">
        <v>-149.597655</v>
      </c>
      <c r="C1855">
        <v>-17.019770999999999</v>
      </c>
      <c r="D1855">
        <v>155.9</v>
      </c>
      <c r="E1855">
        <v>30.2</v>
      </c>
      <c r="F1855">
        <v>9.57</v>
      </c>
    </row>
    <row r="1856" spans="1:6" x14ac:dyDescent="0.2">
      <c r="A1856">
        <v>736787.62529999996</v>
      </c>
      <c r="B1856">
        <v>-149.597645</v>
      </c>
      <c r="C1856">
        <v>-17.019774999999999</v>
      </c>
      <c r="D1856">
        <v>155.9</v>
      </c>
      <c r="E1856">
        <v>30.2</v>
      </c>
      <c r="F1856">
        <v>9.57</v>
      </c>
    </row>
    <row r="1857" spans="1:6" x14ac:dyDescent="0.2">
      <c r="A1857">
        <v>736787.62529999996</v>
      </c>
      <c r="B1857">
        <v>-149.597635</v>
      </c>
      <c r="C1857">
        <v>-17.019780999999998</v>
      </c>
      <c r="D1857">
        <v>155.9</v>
      </c>
      <c r="E1857">
        <v>30.2</v>
      </c>
      <c r="F1857">
        <v>9.57</v>
      </c>
    </row>
    <row r="1858" spans="1:6" x14ac:dyDescent="0.2">
      <c r="A1858">
        <v>736787.62529999996</v>
      </c>
      <c r="B1858">
        <v>-149.59761700000001</v>
      </c>
      <c r="C1858">
        <v>-17.019784999999999</v>
      </c>
      <c r="D1858">
        <v>155.9</v>
      </c>
      <c r="E1858">
        <v>30.2</v>
      </c>
      <c r="F1858">
        <v>9.57</v>
      </c>
    </row>
    <row r="1859" spans="1:6" x14ac:dyDescent="0.2">
      <c r="A1859">
        <v>736787.62529999996</v>
      </c>
      <c r="B1859">
        <v>-149.597601</v>
      </c>
      <c r="C1859">
        <v>-17.019791000000001</v>
      </c>
      <c r="D1859">
        <v>155.9</v>
      </c>
      <c r="E1859">
        <v>30.2</v>
      </c>
      <c r="F1859">
        <v>9.57</v>
      </c>
    </row>
    <row r="1860" spans="1:6" x14ac:dyDescent="0.2">
      <c r="A1860">
        <v>736787.62540000002</v>
      </c>
      <c r="B1860">
        <v>-149.59758600000001</v>
      </c>
      <c r="C1860">
        <v>-17.019798999999999</v>
      </c>
      <c r="D1860">
        <v>156.795199787569</v>
      </c>
      <c r="E1860">
        <v>30.2</v>
      </c>
      <c r="F1860">
        <v>9.6246399840676897</v>
      </c>
    </row>
    <row r="1861" spans="1:6" x14ac:dyDescent="0.2">
      <c r="A1861">
        <v>736787.62540000002</v>
      </c>
      <c r="B1861">
        <v>-149.59757300000001</v>
      </c>
      <c r="C1861">
        <v>-17.019812999999999</v>
      </c>
      <c r="D1861">
        <v>156.795199787569</v>
      </c>
      <c r="E1861">
        <v>30.2</v>
      </c>
      <c r="F1861">
        <v>9.6246399840676897</v>
      </c>
    </row>
    <row r="1862" spans="1:6" x14ac:dyDescent="0.2">
      <c r="A1862">
        <v>736787.62540000002</v>
      </c>
      <c r="B1862">
        <v>-149.59756300000001</v>
      </c>
      <c r="C1862">
        <v>-17.019826999999999</v>
      </c>
      <c r="D1862">
        <v>156.795199787569</v>
      </c>
      <c r="E1862">
        <v>30.2</v>
      </c>
      <c r="F1862">
        <v>9.6246399840676897</v>
      </c>
    </row>
    <row r="1863" spans="1:6" x14ac:dyDescent="0.2">
      <c r="A1863">
        <v>736787.62540000002</v>
      </c>
      <c r="B1863">
        <v>-149.597553</v>
      </c>
      <c r="C1863">
        <v>-17.019835</v>
      </c>
      <c r="D1863">
        <v>156.795199787569</v>
      </c>
      <c r="E1863">
        <v>30.2</v>
      </c>
      <c r="F1863">
        <v>9.6246399840676897</v>
      </c>
    </row>
    <row r="1864" spans="1:6" x14ac:dyDescent="0.2">
      <c r="A1864">
        <v>736787.62549999997</v>
      </c>
      <c r="B1864">
        <v>-149.59754000000001</v>
      </c>
      <c r="C1864">
        <v>-17.019846000000001</v>
      </c>
      <c r="D1864">
        <v>156.76799932408201</v>
      </c>
      <c r="E1864">
        <v>30.2</v>
      </c>
      <c r="F1864">
        <v>9.6195999613761405</v>
      </c>
    </row>
    <row r="1865" spans="1:6" x14ac:dyDescent="0.2">
      <c r="A1865">
        <v>736787.62549999997</v>
      </c>
      <c r="B1865">
        <v>-149.59752599999999</v>
      </c>
      <c r="C1865">
        <v>-17.019853000000001</v>
      </c>
      <c r="D1865">
        <v>156.76799932408201</v>
      </c>
      <c r="E1865">
        <v>30.2</v>
      </c>
      <c r="F1865">
        <v>9.6195999613761405</v>
      </c>
    </row>
    <row r="1866" spans="1:6" x14ac:dyDescent="0.2">
      <c r="A1866">
        <v>736787.62549999997</v>
      </c>
      <c r="B1866">
        <v>-149.59751399999999</v>
      </c>
      <c r="C1866">
        <v>-17.019856999999998</v>
      </c>
      <c r="D1866">
        <v>156.76799932408201</v>
      </c>
      <c r="E1866">
        <v>30.2</v>
      </c>
      <c r="F1866">
        <v>9.6195999613761405</v>
      </c>
    </row>
    <row r="1867" spans="1:6" x14ac:dyDescent="0.2">
      <c r="A1867">
        <v>736787.62549999997</v>
      </c>
      <c r="B1867">
        <v>-149.59750099999999</v>
      </c>
      <c r="C1867">
        <v>-17.019863999999998</v>
      </c>
      <c r="D1867">
        <v>156.76799932408201</v>
      </c>
      <c r="E1867">
        <v>30.2</v>
      </c>
      <c r="F1867">
        <v>9.6195999613761405</v>
      </c>
    </row>
    <row r="1868" spans="1:6" x14ac:dyDescent="0.2">
      <c r="A1868">
        <v>736787.62549999997</v>
      </c>
      <c r="B1868">
        <v>-149.597488</v>
      </c>
      <c r="C1868">
        <v>-17.019867999999999</v>
      </c>
      <c r="D1868">
        <v>156.76799932408201</v>
      </c>
      <c r="E1868">
        <v>30.2</v>
      </c>
      <c r="F1868">
        <v>9.6195999613761405</v>
      </c>
    </row>
    <row r="1869" spans="1:6" x14ac:dyDescent="0.2">
      <c r="A1869">
        <v>736787.62549999997</v>
      </c>
      <c r="B1869">
        <v>-149.597475</v>
      </c>
      <c r="C1869">
        <v>-17.019870999999998</v>
      </c>
      <c r="D1869">
        <v>156.76799932408201</v>
      </c>
      <c r="E1869">
        <v>30.2</v>
      </c>
      <c r="F1869">
        <v>9.6195999613761405</v>
      </c>
    </row>
    <row r="1870" spans="1:6" x14ac:dyDescent="0.2">
      <c r="A1870">
        <v>736787.62549999997</v>
      </c>
      <c r="B1870">
        <v>-149.59746200000001</v>
      </c>
      <c r="C1870">
        <v>-17.019873</v>
      </c>
      <c r="D1870">
        <v>156.76799932408201</v>
      </c>
      <c r="E1870">
        <v>30.2</v>
      </c>
      <c r="F1870">
        <v>9.6195999613761405</v>
      </c>
    </row>
    <row r="1871" spans="1:6" x14ac:dyDescent="0.2">
      <c r="A1871">
        <v>736787.62560000003</v>
      </c>
      <c r="B1871">
        <v>-149.59742900000001</v>
      </c>
      <c r="C1871">
        <v>-17.019867000000001</v>
      </c>
      <c r="D1871">
        <v>157.49360011908999</v>
      </c>
      <c r="E1871">
        <v>30.2</v>
      </c>
      <c r="F1871">
        <v>9.6596800059545007</v>
      </c>
    </row>
    <row r="1872" spans="1:6" x14ac:dyDescent="0.2">
      <c r="A1872">
        <v>736787.62560000003</v>
      </c>
      <c r="B1872">
        <v>-149.597418</v>
      </c>
      <c r="C1872">
        <v>-17.019866</v>
      </c>
      <c r="D1872">
        <v>157.49360011908999</v>
      </c>
      <c r="E1872">
        <v>30.2</v>
      </c>
      <c r="F1872">
        <v>9.6596800059545007</v>
      </c>
    </row>
    <row r="1873" spans="1:6" x14ac:dyDescent="0.2">
      <c r="A1873">
        <v>736787.62560000003</v>
      </c>
      <c r="B1873">
        <v>-149.597408</v>
      </c>
      <c r="C1873">
        <v>-17.019866</v>
      </c>
      <c r="D1873">
        <v>157.49360011908999</v>
      </c>
      <c r="E1873">
        <v>30.2</v>
      </c>
      <c r="F1873">
        <v>9.6596800059545007</v>
      </c>
    </row>
    <row r="1874" spans="1:6" x14ac:dyDescent="0.2">
      <c r="A1874">
        <v>736787.62560000003</v>
      </c>
      <c r="B1874">
        <v>-149.59739300000001</v>
      </c>
      <c r="C1874">
        <v>-17.019864999999999</v>
      </c>
      <c r="D1874">
        <v>157.49360011908999</v>
      </c>
      <c r="E1874">
        <v>30.2</v>
      </c>
      <c r="F1874">
        <v>9.6596800059545007</v>
      </c>
    </row>
    <row r="1875" spans="1:6" x14ac:dyDescent="0.2">
      <c r="A1875">
        <v>736787.62560000003</v>
      </c>
      <c r="B1875">
        <v>-149.59737799999999</v>
      </c>
      <c r="C1875">
        <v>-17.019864999999999</v>
      </c>
      <c r="D1875">
        <v>157.49360011908999</v>
      </c>
      <c r="E1875">
        <v>30.2</v>
      </c>
      <c r="F1875">
        <v>9.6596800059545007</v>
      </c>
    </row>
    <row r="1876" spans="1:6" x14ac:dyDescent="0.2">
      <c r="A1876">
        <v>736787.62560000003</v>
      </c>
      <c r="B1876">
        <v>-149.59736599999999</v>
      </c>
      <c r="C1876">
        <v>-17.019867000000001</v>
      </c>
      <c r="D1876">
        <v>157.49360011908999</v>
      </c>
      <c r="E1876">
        <v>30.2</v>
      </c>
      <c r="F1876">
        <v>9.6596800059545007</v>
      </c>
    </row>
    <row r="1877" spans="1:6" x14ac:dyDescent="0.2">
      <c r="A1877">
        <v>736787.62560000003</v>
      </c>
      <c r="B1877">
        <v>-149.59734599999999</v>
      </c>
      <c r="C1877">
        <v>-17.019874000000002</v>
      </c>
      <c r="D1877">
        <v>157.49360011908999</v>
      </c>
      <c r="E1877">
        <v>30.2</v>
      </c>
      <c r="F1877">
        <v>9.6596800059545007</v>
      </c>
    </row>
    <row r="1878" spans="1:6" x14ac:dyDescent="0.2">
      <c r="A1878">
        <v>736787.62560000003</v>
      </c>
      <c r="B1878">
        <v>-149.59733299999999</v>
      </c>
      <c r="C1878">
        <v>-17.019883</v>
      </c>
      <c r="D1878">
        <v>157.49360011908999</v>
      </c>
      <c r="E1878">
        <v>30.2</v>
      </c>
      <c r="F1878">
        <v>9.6596800059545007</v>
      </c>
    </row>
    <row r="1879" spans="1:6" x14ac:dyDescent="0.2">
      <c r="A1879">
        <v>736787.62569999998</v>
      </c>
      <c r="B1879">
        <v>-149.59732399999999</v>
      </c>
      <c r="C1879">
        <v>-17.019888000000002</v>
      </c>
      <c r="D1879">
        <v>157.56960000160899</v>
      </c>
      <c r="E1879">
        <v>30.2</v>
      </c>
      <c r="F1879">
        <v>9.6669600001609304</v>
      </c>
    </row>
    <row r="1880" spans="1:6" x14ac:dyDescent="0.2">
      <c r="A1880">
        <v>736787.62569999998</v>
      </c>
      <c r="B1880">
        <v>-149.59731099999999</v>
      </c>
      <c r="C1880">
        <v>-17.019895999999999</v>
      </c>
      <c r="D1880">
        <v>157.56960000160899</v>
      </c>
      <c r="E1880">
        <v>30.2</v>
      </c>
      <c r="F1880">
        <v>9.6669600001609304</v>
      </c>
    </row>
    <row r="1881" spans="1:6" x14ac:dyDescent="0.2">
      <c r="A1881">
        <v>736787.62569999998</v>
      </c>
      <c r="B1881">
        <v>-149.59730099999999</v>
      </c>
      <c r="C1881">
        <v>-17.019904</v>
      </c>
      <c r="D1881">
        <v>157.56960000160899</v>
      </c>
      <c r="E1881">
        <v>30.2</v>
      </c>
      <c r="F1881">
        <v>9.6669600001609304</v>
      </c>
    </row>
    <row r="1882" spans="1:6" x14ac:dyDescent="0.2">
      <c r="A1882">
        <v>736787.62569999998</v>
      </c>
      <c r="B1882">
        <v>-149.59729400000001</v>
      </c>
      <c r="C1882">
        <v>-17.019912999999999</v>
      </c>
      <c r="D1882">
        <v>157.56960000160899</v>
      </c>
      <c r="E1882">
        <v>30.2</v>
      </c>
      <c r="F1882">
        <v>9.6669600001609304</v>
      </c>
    </row>
    <row r="1883" spans="1:6" x14ac:dyDescent="0.2">
      <c r="A1883">
        <v>736787.62569999998</v>
      </c>
      <c r="B1883">
        <v>-149.597285</v>
      </c>
      <c r="C1883">
        <v>-17.019919000000002</v>
      </c>
      <c r="D1883">
        <v>157.56960000160899</v>
      </c>
      <c r="E1883">
        <v>30.2</v>
      </c>
      <c r="F1883">
        <v>9.6669600001609304</v>
      </c>
    </row>
    <row r="1884" spans="1:6" x14ac:dyDescent="0.2">
      <c r="A1884">
        <v>736787.62569999998</v>
      </c>
      <c r="B1884">
        <v>-149.597274</v>
      </c>
      <c r="C1884">
        <v>-17.019926000000002</v>
      </c>
      <c r="D1884">
        <v>157.56960000160899</v>
      </c>
      <c r="E1884">
        <v>30.2</v>
      </c>
      <c r="F1884">
        <v>9.6669600001609304</v>
      </c>
    </row>
    <row r="1885" spans="1:6" x14ac:dyDescent="0.2">
      <c r="A1885">
        <v>736787.62569999998</v>
      </c>
      <c r="B1885">
        <v>-149.597263</v>
      </c>
      <c r="C1885">
        <v>-17.019929000000001</v>
      </c>
      <c r="D1885">
        <v>157.56960000160899</v>
      </c>
      <c r="E1885">
        <v>30.2</v>
      </c>
      <c r="F1885">
        <v>9.6669600001609304</v>
      </c>
    </row>
    <row r="1886" spans="1:6" x14ac:dyDescent="0.2">
      <c r="A1886">
        <v>736787.62569999998</v>
      </c>
      <c r="B1886">
        <v>-149.59725</v>
      </c>
      <c r="C1886">
        <v>-17.019933000000002</v>
      </c>
      <c r="D1886">
        <v>157.56960000160899</v>
      </c>
      <c r="E1886">
        <v>30.2</v>
      </c>
      <c r="F1886">
        <v>9.6669600001609304</v>
      </c>
    </row>
    <row r="1887" spans="1:6" x14ac:dyDescent="0.2">
      <c r="A1887">
        <v>736787.62580000004</v>
      </c>
      <c r="B1887">
        <v>-149.59723600000001</v>
      </c>
      <c r="C1887">
        <v>-17.019939000000001</v>
      </c>
      <c r="D1887">
        <v>159.1</v>
      </c>
      <c r="E1887">
        <v>30.3</v>
      </c>
      <c r="F1887">
        <v>9.75</v>
      </c>
    </row>
    <row r="1888" spans="1:6" x14ac:dyDescent="0.2">
      <c r="A1888">
        <v>736787.62580000004</v>
      </c>
      <c r="B1888">
        <v>-149.59723199999999</v>
      </c>
      <c r="C1888">
        <v>-17.019947999999999</v>
      </c>
      <c r="D1888">
        <v>159.1</v>
      </c>
      <c r="E1888">
        <v>30.3</v>
      </c>
      <c r="F1888">
        <v>9.75</v>
      </c>
    </row>
    <row r="1889" spans="1:6" x14ac:dyDescent="0.2">
      <c r="A1889">
        <v>736787.62580000004</v>
      </c>
      <c r="B1889">
        <v>-149.59721999999999</v>
      </c>
      <c r="C1889">
        <v>-17.019949</v>
      </c>
      <c r="D1889">
        <v>159.1</v>
      </c>
      <c r="E1889">
        <v>30.3</v>
      </c>
      <c r="F1889">
        <v>9.75</v>
      </c>
    </row>
    <row r="1890" spans="1:6" x14ac:dyDescent="0.2">
      <c r="A1890">
        <v>736787.62580000004</v>
      </c>
      <c r="B1890">
        <v>-149.597205</v>
      </c>
      <c r="C1890">
        <v>-17.019953999999998</v>
      </c>
      <c r="D1890">
        <v>159.1</v>
      </c>
      <c r="E1890">
        <v>30.3</v>
      </c>
      <c r="F1890">
        <v>9.75</v>
      </c>
    </row>
    <row r="1891" spans="1:6" x14ac:dyDescent="0.2">
      <c r="A1891">
        <v>736787.62580000004</v>
      </c>
      <c r="B1891">
        <v>-149.597195</v>
      </c>
      <c r="C1891">
        <v>-17.019956000000001</v>
      </c>
      <c r="D1891">
        <v>159.1</v>
      </c>
      <c r="E1891">
        <v>30.3</v>
      </c>
      <c r="F1891">
        <v>9.75</v>
      </c>
    </row>
    <row r="1892" spans="1:6" x14ac:dyDescent="0.2">
      <c r="A1892">
        <v>736787.62580000004</v>
      </c>
      <c r="B1892">
        <v>-149.597185</v>
      </c>
      <c r="C1892">
        <v>-17.019955</v>
      </c>
      <c r="D1892">
        <v>159.1</v>
      </c>
      <c r="E1892">
        <v>30.3</v>
      </c>
      <c r="F1892">
        <v>9.75</v>
      </c>
    </row>
    <row r="1893" spans="1:6" x14ac:dyDescent="0.2">
      <c r="A1893">
        <v>736787.62580000004</v>
      </c>
      <c r="B1893">
        <v>-149.59716900000001</v>
      </c>
      <c r="C1893">
        <v>-17.019956000000001</v>
      </c>
      <c r="D1893">
        <v>159.1</v>
      </c>
      <c r="E1893">
        <v>30.3</v>
      </c>
      <c r="F1893">
        <v>9.75</v>
      </c>
    </row>
    <row r="1894" spans="1:6" x14ac:dyDescent="0.2">
      <c r="A1894">
        <v>736787.62580000004</v>
      </c>
      <c r="B1894">
        <v>-149.59715399999999</v>
      </c>
      <c r="C1894">
        <v>-17.019955</v>
      </c>
      <c r="D1894">
        <v>159.1</v>
      </c>
      <c r="E1894">
        <v>30.3</v>
      </c>
      <c r="F1894">
        <v>9.75</v>
      </c>
    </row>
    <row r="1895" spans="1:6" x14ac:dyDescent="0.2">
      <c r="A1895">
        <v>736787.62580000004</v>
      </c>
      <c r="B1895">
        <v>-149.59714299999999</v>
      </c>
      <c r="C1895">
        <v>-17.019957000000002</v>
      </c>
      <c r="D1895">
        <v>159.1</v>
      </c>
      <c r="E1895">
        <v>30.3</v>
      </c>
      <c r="F1895">
        <v>9.75</v>
      </c>
    </row>
    <row r="1896" spans="1:6" x14ac:dyDescent="0.2">
      <c r="A1896">
        <v>736787.62589999998</v>
      </c>
      <c r="B1896">
        <v>-149.59713300000001</v>
      </c>
      <c r="C1896">
        <v>-17.019960000000001</v>
      </c>
      <c r="D1896">
        <v>159.54319837779801</v>
      </c>
      <c r="E1896">
        <v>30.3</v>
      </c>
      <c r="F1896">
        <v>9.7736799087511201</v>
      </c>
    </row>
    <row r="1897" spans="1:6" x14ac:dyDescent="0.2">
      <c r="A1897">
        <v>736787.62589999998</v>
      </c>
      <c r="B1897">
        <v>-149.59711300000001</v>
      </c>
      <c r="C1897">
        <v>-17.019960999999999</v>
      </c>
      <c r="D1897">
        <v>159.54319837779801</v>
      </c>
      <c r="E1897">
        <v>30.3</v>
      </c>
      <c r="F1897">
        <v>9.7736799087511201</v>
      </c>
    </row>
    <row r="1898" spans="1:6" x14ac:dyDescent="0.2">
      <c r="A1898">
        <v>736787.62589999998</v>
      </c>
      <c r="B1898">
        <v>-149.59710000000001</v>
      </c>
      <c r="C1898">
        <v>-17.019960000000001</v>
      </c>
      <c r="D1898">
        <v>159.54319837779801</v>
      </c>
      <c r="E1898">
        <v>30.3</v>
      </c>
      <c r="F1898">
        <v>9.7736799087511201</v>
      </c>
    </row>
    <row r="1899" spans="1:6" x14ac:dyDescent="0.2">
      <c r="A1899">
        <v>736787.62589999998</v>
      </c>
      <c r="B1899">
        <v>-149.59708800000001</v>
      </c>
      <c r="C1899">
        <v>-17.019962</v>
      </c>
      <c r="D1899">
        <v>159.54319837779801</v>
      </c>
      <c r="E1899">
        <v>30.3</v>
      </c>
      <c r="F1899">
        <v>9.7736799087511201</v>
      </c>
    </row>
    <row r="1900" spans="1:6" x14ac:dyDescent="0.2">
      <c r="A1900">
        <v>736787.62589999998</v>
      </c>
      <c r="B1900">
        <v>-149.597072</v>
      </c>
      <c r="C1900">
        <v>-17.019964999999999</v>
      </c>
      <c r="D1900">
        <v>159.54319837779801</v>
      </c>
      <c r="E1900">
        <v>30.3</v>
      </c>
      <c r="F1900">
        <v>9.7736799087511201</v>
      </c>
    </row>
    <row r="1901" spans="1:6" x14ac:dyDescent="0.2">
      <c r="A1901">
        <v>736787.62589999998</v>
      </c>
      <c r="B1901">
        <v>-149.59706199999999</v>
      </c>
      <c r="C1901">
        <v>-17.019970000000001</v>
      </c>
      <c r="D1901">
        <v>159.54319837779801</v>
      </c>
      <c r="E1901">
        <v>30.3</v>
      </c>
      <c r="F1901">
        <v>9.7736799087511201</v>
      </c>
    </row>
    <row r="1902" spans="1:6" x14ac:dyDescent="0.2">
      <c r="A1902">
        <v>736787.62589999998</v>
      </c>
      <c r="B1902">
        <v>-149.59705</v>
      </c>
      <c r="C1902">
        <v>-17.019976</v>
      </c>
      <c r="D1902">
        <v>159.54319837779801</v>
      </c>
      <c r="E1902">
        <v>30.3</v>
      </c>
      <c r="F1902">
        <v>9.7736799087511201</v>
      </c>
    </row>
    <row r="1903" spans="1:6" x14ac:dyDescent="0.2">
      <c r="A1903">
        <v>736787.62589999998</v>
      </c>
      <c r="B1903">
        <v>-149.59703500000001</v>
      </c>
      <c r="C1903">
        <v>-17.019984000000001</v>
      </c>
      <c r="D1903">
        <v>159.54319837779801</v>
      </c>
      <c r="E1903">
        <v>30.3</v>
      </c>
      <c r="F1903">
        <v>9.7736799087511201</v>
      </c>
    </row>
    <row r="1904" spans="1:6" x14ac:dyDescent="0.2">
      <c r="A1904">
        <v>736787.62600000005</v>
      </c>
      <c r="B1904">
        <v>-149.59701999999999</v>
      </c>
      <c r="C1904">
        <v>-17.01999</v>
      </c>
      <c r="D1904">
        <v>161.07600014483901</v>
      </c>
      <c r="E1904">
        <v>30.740000362098002</v>
      </c>
      <c r="F1904">
        <v>9.7971999565482406</v>
      </c>
    </row>
    <row r="1905" spans="1:6" x14ac:dyDescent="0.2">
      <c r="A1905">
        <v>736787.62600000005</v>
      </c>
      <c r="B1905">
        <v>-149.59700900000001</v>
      </c>
      <c r="C1905">
        <v>-17.019997</v>
      </c>
      <c r="D1905">
        <v>161.07600014483901</v>
      </c>
      <c r="E1905">
        <v>30.740000362098002</v>
      </c>
      <c r="F1905">
        <v>9.7971999565482406</v>
      </c>
    </row>
    <row r="1906" spans="1:6" x14ac:dyDescent="0.2">
      <c r="A1906">
        <v>736787.62600000005</v>
      </c>
      <c r="B1906">
        <v>-149.59699900000001</v>
      </c>
      <c r="C1906">
        <v>-17.020002999999999</v>
      </c>
      <c r="D1906">
        <v>161.07600014483901</v>
      </c>
      <c r="E1906">
        <v>30.740000362098002</v>
      </c>
      <c r="F1906">
        <v>9.7971999565482406</v>
      </c>
    </row>
    <row r="1907" spans="1:6" x14ac:dyDescent="0.2">
      <c r="A1907">
        <v>736787.62600000005</v>
      </c>
      <c r="B1907">
        <v>-149.59698599999999</v>
      </c>
      <c r="C1907">
        <v>-17.020009000000002</v>
      </c>
      <c r="D1907">
        <v>161.07600014483901</v>
      </c>
      <c r="E1907">
        <v>30.740000362098002</v>
      </c>
      <c r="F1907">
        <v>9.7971999565482406</v>
      </c>
    </row>
    <row r="1908" spans="1:6" x14ac:dyDescent="0.2">
      <c r="A1908">
        <v>736787.62600000005</v>
      </c>
      <c r="B1908">
        <v>-149.59697399999999</v>
      </c>
      <c r="C1908">
        <v>-17.020012999999999</v>
      </c>
      <c r="D1908">
        <v>161.07600014483901</v>
      </c>
      <c r="E1908">
        <v>30.740000362098002</v>
      </c>
      <c r="F1908">
        <v>9.7971999565482406</v>
      </c>
    </row>
    <row r="1909" spans="1:6" x14ac:dyDescent="0.2">
      <c r="A1909">
        <v>736787.62600000005</v>
      </c>
      <c r="B1909">
        <v>-149.59696199999999</v>
      </c>
      <c r="C1909">
        <v>-17.020015999999998</v>
      </c>
      <c r="D1909">
        <v>161.07600014483901</v>
      </c>
      <c r="E1909">
        <v>30.740000362098002</v>
      </c>
      <c r="F1909">
        <v>9.7971999565482406</v>
      </c>
    </row>
    <row r="1910" spans="1:6" x14ac:dyDescent="0.2">
      <c r="A1910">
        <v>736787.62600000005</v>
      </c>
      <c r="B1910">
        <v>-149.596948</v>
      </c>
      <c r="C1910">
        <v>-17.020022999999998</v>
      </c>
      <c r="D1910">
        <v>161.07600014483901</v>
      </c>
      <c r="E1910">
        <v>30.740000362098002</v>
      </c>
      <c r="F1910">
        <v>9.7971999565482406</v>
      </c>
    </row>
    <row r="1911" spans="1:6" x14ac:dyDescent="0.2">
      <c r="A1911">
        <v>736787.62600000005</v>
      </c>
      <c r="B1911">
        <v>-149.59693899999999</v>
      </c>
      <c r="C1911">
        <v>-17.020026000000001</v>
      </c>
      <c r="D1911">
        <v>161.07600014483901</v>
      </c>
      <c r="E1911">
        <v>30.740000362098002</v>
      </c>
      <c r="F1911">
        <v>9.7971999565482406</v>
      </c>
    </row>
    <row r="1912" spans="1:6" x14ac:dyDescent="0.2">
      <c r="A1912">
        <v>736787.62609999999</v>
      </c>
      <c r="B1912">
        <v>-149.596925</v>
      </c>
      <c r="C1912">
        <v>-17.020029000000001</v>
      </c>
      <c r="D1912">
        <v>181.38479949788999</v>
      </c>
      <c r="E1912">
        <v>31.1039999839067</v>
      </c>
      <c r="F1912">
        <v>10.9628799723196</v>
      </c>
    </row>
    <row r="1913" spans="1:6" x14ac:dyDescent="0.2">
      <c r="A1913">
        <v>736787.62609999999</v>
      </c>
      <c r="B1913">
        <v>-149.59690699999999</v>
      </c>
      <c r="C1913">
        <v>-17.020036999999999</v>
      </c>
      <c r="D1913">
        <v>181.38479949788999</v>
      </c>
      <c r="E1913">
        <v>31.1039999839067</v>
      </c>
      <c r="F1913">
        <v>10.9628799723196</v>
      </c>
    </row>
    <row r="1914" spans="1:6" x14ac:dyDescent="0.2">
      <c r="A1914">
        <v>736787.62609999999</v>
      </c>
      <c r="B1914">
        <v>-149.59689299999999</v>
      </c>
      <c r="C1914">
        <v>-17.020043000000001</v>
      </c>
      <c r="D1914">
        <v>181.38479949788999</v>
      </c>
      <c r="E1914">
        <v>31.1039999839067</v>
      </c>
      <c r="F1914">
        <v>10.9628799723196</v>
      </c>
    </row>
    <row r="1915" spans="1:6" x14ac:dyDescent="0.2">
      <c r="A1915">
        <v>736787.62609999999</v>
      </c>
      <c r="B1915">
        <v>-149.596881</v>
      </c>
      <c r="C1915">
        <v>-17.020050000000001</v>
      </c>
      <c r="D1915">
        <v>181.38479949788999</v>
      </c>
      <c r="E1915">
        <v>31.1039999839067</v>
      </c>
      <c r="F1915">
        <v>10.9628799723196</v>
      </c>
    </row>
    <row r="1916" spans="1:6" x14ac:dyDescent="0.2">
      <c r="A1916">
        <v>736787.62609999999</v>
      </c>
      <c r="B1916">
        <v>-149.59686300000001</v>
      </c>
      <c r="C1916">
        <v>-17.020057000000001</v>
      </c>
      <c r="D1916">
        <v>181.38479949788999</v>
      </c>
      <c r="E1916">
        <v>31.1039999839067</v>
      </c>
      <c r="F1916">
        <v>10.9628799723196</v>
      </c>
    </row>
    <row r="1917" spans="1:6" x14ac:dyDescent="0.2">
      <c r="A1917">
        <v>736787.62609999999</v>
      </c>
      <c r="B1917">
        <v>-149.59685200000001</v>
      </c>
      <c r="C1917">
        <v>-17.020064999999999</v>
      </c>
      <c r="D1917">
        <v>181.38479949788999</v>
      </c>
      <c r="E1917">
        <v>31.1039999839067</v>
      </c>
      <c r="F1917">
        <v>10.9628799723196</v>
      </c>
    </row>
    <row r="1918" spans="1:6" x14ac:dyDescent="0.2">
      <c r="A1918">
        <v>736787.62609999999</v>
      </c>
      <c r="B1918">
        <v>-149.59684100000001</v>
      </c>
      <c r="C1918">
        <v>-17.020071000000002</v>
      </c>
      <c r="D1918">
        <v>181.38479949788999</v>
      </c>
      <c r="E1918">
        <v>31.1039999839067</v>
      </c>
      <c r="F1918">
        <v>10.9628799723196</v>
      </c>
    </row>
    <row r="1919" spans="1:6" x14ac:dyDescent="0.2">
      <c r="A1919">
        <v>736787.62609999999</v>
      </c>
      <c r="B1919">
        <v>-149.59682599999999</v>
      </c>
      <c r="C1919">
        <v>-17.020074999999999</v>
      </c>
      <c r="D1919">
        <v>181.38479949788999</v>
      </c>
      <c r="E1919">
        <v>31.1039999839067</v>
      </c>
      <c r="F1919">
        <v>10.9628799723196</v>
      </c>
    </row>
    <row r="1920" spans="1:6" x14ac:dyDescent="0.2">
      <c r="A1920">
        <v>736787.62620000006</v>
      </c>
      <c r="B1920">
        <v>-149.596813</v>
      </c>
      <c r="C1920">
        <v>-17.020085000000002</v>
      </c>
      <c r="D1920">
        <v>194.9</v>
      </c>
      <c r="E1920">
        <v>31.4</v>
      </c>
      <c r="F1920">
        <v>11.73</v>
      </c>
    </row>
    <row r="1921" spans="1:6" x14ac:dyDescent="0.2">
      <c r="A1921">
        <v>736787.62620000006</v>
      </c>
      <c r="B1921">
        <v>-149.5968</v>
      </c>
      <c r="C1921">
        <v>-17.020095000000001</v>
      </c>
      <c r="D1921">
        <v>194.9</v>
      </c>
      <c r="E1921">
        <v>31.4</v>
      </c>
      <c r="F1921">
        <v>11.73</v>
      </c>
    </row>
    <row r="1922" spans="1:6" x14ac:dyDescent="0.2">
      <c r="A1922">
        <v>736787.62620000006</v>
      </c>
      <c r="B1922">
        <v>-149.59678700000001</v>
      </c>
      <c r="C1922">
        <v>-17.020097</v>
      </c>
      <c r="D1922">
        <v>194.9</v>
      </c>
      <c r="E1922">
        <v>31.4</v>
      </c>
      <c r="F1922">
        <v>11.73</v>
      </c>
    </row>
    <row r="1923" spans="1:6" x14ac:dyDescent="0.2">
      <c r="A1923">
        <v>736787.62620000006</v>
      </c>
      <c r="B1923">
        <v>-149.59677400000001</v>
      </c>
      <c r="C1923">
        <v>-17.020105000000001</v>
      </c>
      <c r="D1923">
        <v>194.9</v>
      </c>
      <c r="E1923">
        <v>31.4</v>
      </c>
      <c r="F1923">
        <v>11.73</v>
      </c>
    </row>
    <row r="1924" spans="1:6" x14ac:dyDescent="0.2">
      <c r="A1924">
        <v>736787.62620000006</v>
      </c>
      <c r="B1924">
        <v>-149.59676099999999</v>
      </c>
      <c r="C1924">
        <v>-17.020115000000001</v>
      </c>
      <c r="D1924">
        <v>194.9</v>
      </c>
      <c r="E1924">
        <v>31.4</v>
      </c>
      <c r="F1924">
        <v>11.73</v>
      </c>
    </row>
    <row r="1925" spans="1:6" x14ac:dyDescent="0.2">
      <c r="A1925">
        <v>736787.62620000006</v>
      </c>
      <c r="B1925">
        <v>-149.59674999999999</v>
      </c>
      <c r="C1925">
        <v>-17.020119999999999</v>
      </c>
      <c r="D1925">
        <v>194.9</v>
      </c>
      <c r="E1925">
        <v>31.4</v>
      </c>
      <c r="F1925">
        <v>11.73</v>
      </c>
    </row>
    <row r="1926" spans="1:6" x14ac:dyDescent="0.2">
      <c r="A1926">
        <v>736787.62620000006</v>
      </c>
      <c r="B1926">
        <v>-149.59673900000001</v>
      </c>
      <c r="C1926">
        <v>-17.020123999999999</v>
      </c>
      <c r="D1926">
        <v>194.9</v>
      </c>
      <c r="E1926">
        <v>31.4</v>
      </c>
      <c r="F1926">
        <v>11.73</v>
      </c>
    </row>
    <row r="1927" spans="1:6" x14ac:dyDescent="0.2">
      <c r="A1927">
        <v>736787.62620000006</v>
      </c>
      <c r="B1927">
        <v>-149.59672399999999</v>
      </c>
      <c r="C1927">
        <v>-17.020133999999999</v>
      </c>
      <c r="D1927">
        <v>194.9</v>
      </c>
      <c r="E1927">
        <v>31.4</v>
      </c>
      <c r="F1927">
        <v>11.73</v>
      </c>
    </row>
    <row r="1928" spans="1:6" x14ac:dyDescent="0.2">
      <c r="A1928">
        <v>736787.6263</v>
      </c>
      <c r="B1928">
        <v>-149.59671</v>
      </c>
      <c r="C1928">
        <v>-17.020142</v>
      </c>
      <c r="D1928">
        <v>198.77600738679899</v>
      </c>
      <c r="E1928">
        <v>31.419200246226598</v>
      </c>
      <c r="F1928">
        <v>11.9613604021702</v>
      </c>
    </row>
    <row r="1929" spans="1:6" x14ac:dyDescent="0.2">
      <c r="A1929">
        <v>736787.6263</v>
      </c>
      <c r="B1929">
        <v>-149.596699</v>
      </c>
      <c r="C1929">
        <v>-17.020146</v>
      </c>
      <c r="D1929">
        <v>198.77600738679899</v>
      </c>
      <c r="E1929">
        <v>31.419200246226598</v>
      </c>
      <c r="F1929">
        <v>11.9613604021702</v>
      </c>
    </row>
    <row r="1930" spans="1:6" x14ac:dyDescent="0.2">
      <c r="A1930">
        <v>736787.6263</v>
      </c>
      <c r="B1930">
        <v>-149.596688</v>
      </c>
      <c r="C1930">
        <v>-17.020152</v>
      </c>
      <c r="D1930">
        <v>198.77600738679899</v>
      </c>
      <c r="E1930">
        <v>31.419200246226598</v>
      </c>
      <c r="F1930">
        <v>11.9613604021702</v>
      </c>
    </row>
    <row r="1931" spans="1:6" x14ac:dyDescent="0.2">
      <c r="A1931">
        <v>736787.6263</v>
      </c>
      <c r="B1931">
        <v>-149.596676</v>
      </c>
      <c r="C1931">
        <v>-17.020156</v>
      </c>
      <c r="D1931">
        <v>198.77600738679899</v>
      </c>
      <c r="E1931">
        <v>31.419200246226598</v>
      </c>
      <c r="F1931">
        <v>11.9613604021702</v>
      </c>
    </row>
    <row r="1932" spans="1:6" x14ac:dyDescent="0.2">
      <c r="A1932">
        <v>736787.6263</v>
      </c>
      <c r="B1932">
        <v>-149.596667</v>
      </c>
      <c r="C1932">
        <v>-17.020159</v>
      </c>
      <c r="D1932">
        <v>198.77600738679899</v>
      </c>
      <c r="E1932">
        <v>31.419200246226598</v>
      </c>
      <c r="F1932">
        <v>11.9613604021702</v>
      </c>
    </row>
    <row r="1933" spans="1:6" x14ac:dyDescent="0.2">
      <c r="A1933">
        <v>736787.6263</v>
      </c>
      <c r="B1933">
        <v>-149.596656</v>
      </c>
      <c r="C1933">
        <v>-17.020163</v>
      </c>
      <c r="D1933">
        <v>198.77600738679899</v>
      </c>
      <c r="E1933">
        <v>31.419200246226598</v>
      </c>
      <c r="F1933">
        <v>11.9613604021702</v>
      </c>
    </row>
    <row r="1934" spans="1:6" x14ac:dyDescent="0.2">
      <c r="A1934">
        <v>736787.6263</v>
      </c>
      <c r="B1934">
        <v>-149.596644</v>
      </c>
      <c r="C1934">
        <v>-17.020166</v>
      </c>
      <c r="D1934">
        <v>198.77600738679899</v>
      </c>
      <c r="E1934">
        <v>31.419200246226598</v>
      </c>
      <c r="F1934">
        <v>11.9613604021702</v>
      </c>
    </row>
    <row r="1935" spans="1:6" x14ac:dyDescent="0.2">
      <c r="A1935">
        <v>736787.6263</v>
      </c>
      <c r="B1935">
        <v>-149.59662800000001</v>
      </c>
      <c r="C1935">
        <v>-17.020168999999999</v>
      </c>
      <c r="D1935">
        <v>198.77600738679899</v>
      </c>
      <c r="E1935">
        <v>31.419200246226598</v>
      </c>
      <c r="F1935">
        <v>11.9613604021702</v>
      </c>
    </row>
    <row r="1936" spans="1:6" x14ac:dyDescent="0.2">
      <c r="A1936">
        <v>736787.62639999995</v>
      </c>
      <c r="B1936">
        <v>-149.59661600000001</v>
      </c>
      <c r="C1936">
        <v>-17.020173</v>
      </c>
      <c r="D1936">
        <v>207.35839976825699</v>
      </c>
      <c r="E1936">
        <v>31.8583997682573</v>
      </c>
      <c r="F1936">
        <v>12.3962400347614</v>
      </c>
    </row>
    <row r="1937" spans="1:6" x14ac:dyDescent="0.2">
      <c r="A1937">
        <v>736787.62639999995</v>
      </c>
      <c r="B1937">
        <v>-149.59661</v>
      </c>
      <c r="C1937">
        <v>-17.020174000000001</v>
      </c>
      <c r="D1937">
        <v>207.35839976825699</v>
      </c>
      <c r="E1937">
        <v>31.8583997682573</v>
      </c>
      <c r="F1937">
        <v>12.3962400347614</v>
      </c>
    </row>
    <row r="1938" spans="1:6" x14ac:dyDescent="0.2">
      <c r="A1938">
        <v>736787.62639999995</v>
      </c>
      <c r="B1938">
        <v>-149.59660199999999</v>
      </c>
      <c r="C1938">
        <v>-17.020178999999999</v>
      </c>
      <c r="D1938">
        <v>207.35839976825699</v>
      </c>
      <c r="E1938">
        <v>31.8583997682573</v>
      </c>
      <c r="F1938">
        <v>12.3962400347614</v>
      </c>
    </row>
    <row r="1939" spans="1:6" x14ac:dyDescent="0.2">
      <c r="A1939">
        <v>736787.62639999995</v>
      </c>
      <c r="B1939">
        <v>-149.59658999999999</v>
      </c>
      <c r="C1939">
        <v>-17.020181999999998</v>
      </c>
      <c r="D1939">
        <v>207.35839976825699</v>
      </c>
      <c r="E1939">
        <v>31.8583997682573</v>
      </c>
      <c r="F1939">
        <v>12.3962400347614</v>
      </c>
    </row>
    <row r="1940" spans="1:6" x14ac:dyDescent="0.2">
      <c r="A1940">
        <v>736787.62639999995</v>
      </c>
      <c r="B1940">
        <v>-149.59657999999999</v>
      </c>
      <c r="C1940">
        <v>-17.020184</v>
      </c>
      <c r="D1940">
        <v>207.35839976825699</v>
      </c>
      <c r="E1940">
        <v>31.8583997682573</v>
      </c>
      <c r="F1940">
        <v>12.3962400347614</v>
      </c>
    </row>
    <row r="1941" spans="1:6" x14ac:dyDescent="0.2">
      <c r="A1941">
        <v>736787.62650000001</v>
      </c>
      <c r="B1941">
        <v>-149.59656799999999</v>
      </c>
      <c r="C1941">
        <v>-17.020189999999999</v>
      </c>
      <c r="D1941">
        <v>217.116011772208</v>
      </c>
      <c r="E1941">
        <v>31.691999645948599</v>
      </c>
      <c r="F1941">
        <v>13.0228007877643</v>
      </c>
    </row>
    <row r="1942" spans="1:6" x14ac:dyDescent="0.2">
      <c r="A1942">
        <v>736787.62650000001</v>
      </c>
      <c r="B1942">
        <v>-149.59655699999999</v>
      </c>
      <c r="C1942">
        <v>-17.020192999999999</v>
      </c>
      <c r="D1942">
        <v>217.116011772208</v>
      </c>
      <c r="E1942">
        <v>31.691999645948599</v>
      </c>
      <c r="F1942">
        <v>13.0228007877643</v>
      </c>
    </row>
    <row r="1943" spans="1:6" x14ac:dyDescent="0.2">
      <c r="A1943">
        <v>736787.62659999996</v>
      </c>
      <c r="B1943">
        <v>-149.596552</v>
      </c>
      <c r="C1943">
        <v>-17.020201</v>
      </c>
      <c r="D1943">
        <v>224.86319354339</v>
      </c>
      <c r="E1943">
        <v>31.3</v>
      </c>
      <c r="F1943">
        <v>13.5592796060374</v>
      </c>
    </row>
    <row r="1944" spans="1:6" x14ac:dyDescent="0.2">
      <c r="A1944">
        <v>736787.62670000002</v>
      </c>
      <c r="B1944">
        <v>-149.596564</v>
      </c>
      <c r="C1944">
        <v>-17.020199999999999</v>
      </c>
      <c r="D1944">
        <v>226.56719747657399</v>
      </c>
      <c r="E1944">
        <v>31.1047998197553</v>
      </c>
      <c r="F1944">
        <v>13.7031198828409</v>
      </c>
    </row>
    <row r="1945" spans="1:6" x14ac:dyDescent="0.2">
      <c r="A1945">
        <v>736787.62670000002</v>
      </c>
      <c r="B1945">
        <v>-149.596574</v>
      </c>
      <c r="C1945">
        <v>-17.020208</v>
      </c>
      <c r="D1945">
        <v>226.56719747657399</v>
      </c>
      <c r="E1945">
        <v>31.1047998197553</v>
      </c>
      <c r="F1945">
        <v>13.7031198828409</v>
      </c>
    </row>
    <row r="1946" spans="1:6" x14ac:dyDescent="0.2">
      <c r="A1946">
        <v>736787.62670000002</v>
      </c>
      <c r="B1946">
        <v>-149.59658400000001</v>
      </c>
      <c r="C1946">
        <v>-17.020213999999999</v>
      </c>
      <c r="D1946">
        <v>226.56719747657399</v>
      </c>
      <c r="E1946">
        <v>31.1047998197553</v>
      </c>
      <c r="F1946">
        <v>13.7031198828409</v>
      </c>
    </row>
    <row r="1947" spans="1:6" x14ac:dyDescent="0.2">
      <c r="A1947">
        <v>736787.62679999997</v>
      </c>
      <c r="B1947">
        <v>-149.59659400000001</v>
      </c>
      <c r="C1947">
        <v>-17.020218</v>
      </c>
      <c r="D1947">
        <v>224.728802883909</v>
      </c>
      <c r="E1947">
        <v>31.3</v>
      </c>
      <c r="F1947">
        <v>13.5503201750945</v>
      </c>
    </row>
    <row r="1948" spans="1:6" x14ac:dyDescent="0.2">
      <c r="A1948">
        <v>736787.62690000003</v>
      </c>
      <c r="B1948">
        <v>-149.5966</v>
      </c>
      <c r="C1948">
        <v>-17.020225</v>
      </c>
      <c r="D1948">
        <v>207.70158357523499</v>
      </c>
      <c r="E1948">
        <v>31.170399695837698</v>
      </c>
      <c r="F1948">
        <v>12.552559067235601</v>
      </c>
    </row>
    <row r="1949" spans="1:6" x14ac:dyDescent="0.2">
      <c r="A1949">
        <v>736787.62699999998</v>
      </c>
      <c r="B1949">
        <v>-149.596608</v>
      </c>
      <c r="C1949">
        <v>-17.020233000000001</v>
      </c>
      <c r="D1949">
        <v>195.656010235324</v>
      </c>
      <c r="E1949">
        <v>30.6</v>
      </c>
      <c r="F1949">
        <v>11.934800624419101</v>
      </c>
    </row>
    <row r="1950" spans="1:6" x14ac:dyDescent="0.2">
      <c r="A1950">
        <v>736787.62699999998</v>
      </c>
      <c r="B1950">
        <v>-149.59661800000001</v>
      </c>
      <c r="C1950">
        <v>-17.020239</v>
      </c>
      <c r="D1950">
        <v>195.656010235324</v>
      </c>
      <c r="E1950">
        <v>30.6</v>
      </c>
      <c r="F1950">
        <v>11.934800624419101</v>
      </c>
    </row>
    <row r="1951" spans="1:6" x14ac:dyDescent="0.2">
      <c r="A1951">
        <v>736787.62699999998</v>
      </c>
      <c r="B1951">
        <v>-149.59662800000001</v>
      </c>
      <c r="C1951">
        <v>-17.020247999999999</v>
      </c>
      <c r="D1951">
        <v>195.656010235324</v>
      </c>
      <c r="E1951">
        <v>30.6</v>
      </c>
      <c r="F1951">
        <v>11.934800624419101</v>
      </c>
    </row>
    <row r="1952" spans="1:6" x14ac:dyDescent="0.2">
      <c r="A1952">
        <v>736787.62699999998</v>
      </c>
      <c r="B1952">
        <v>-149.59663599999999</v>
      </c>
      <c r="C1952">
        <v>-17.020254000000001</v>
      </c>
      <c r="D1952">
        <v>195.656010235324</v>
      </c>
      <c r="E1952">
        <v>30.6</v>
      </c>
      <c r="F1952">
        <v>11.934800624419101</v>
      </c>
    </row>
    <row r="1953" spans="1:6" x14ac:dyDescent="0.2">
      <c r="A1953">
        <v>736787.62699999998</v>
      </c>
      <c r="B1953">
        <v>-149.596644</v>
      </c>
      <c r="C1953">
        <v>-17.02026</v>
      </c>
      <c r="D1953">
        <v>195.656010235324</v>
      </c>
      <c r="E1953">
        <v>30.6</v>
      </c>
      <c r="F1953">
        <v>11.934800624419101</v>
      </c>
    </row>
    <row r="1954" spans="1:6" x14ac:dyDescent="0.2">
      <c r="A1954">
        <v>736787.62699999998</v>
      </c>
      <c r="B1954">
        <v>-149.59665899999999</v>
      </c>
      <c r="C1954">
        <v>-17.020268999999999</v>
      </c>
      <c r="D1954">
        <v>195.656010235324</v>
      </c>
      <c r="E1954">
        <v>30.6</v>
      </c>
      <c r="F1954">
        <v>11.934800624419101</v>
      </c>
    </row>
    <row r="1955" spans="1:6" x14ac:dyDescent="0.2">
      <c r="A1955">
        <v>736787.62699999998</v>
      </c>
      <c r="B1955">
        <v>-149.59666999999999</v>
      </c>
      <c r="C1955">
        <v>-17.020275000000002</v>
      </c>
      <c r="D1955">
        <v>195.656010235324</v>
      </c>
      <c r="E1955">
        <v>30.6</v>
      </c>
      <c r="F1955">
        <v>11.934800624419101</v>
      </c>
    </row>
    <row r="1956" spans="1:6" x14ac:dyDescent="0.2">
      <c r="A1956">
        <v>736787.62710000004</v>
      </c>
      <c r="B1956">
        <v>-149.596677</v>
      </c>
      <c r="C1956">
        <v>-17.020282000000002</v>
      </c>
      <c r="D1956">
        <v>172.798388462753</v>
      </c>
      <c r="E1956">
        <v>30.4223997843505</v>
      </c>
      <c r="F1956">
        <v>10.560559320704201</v>
      </c>
    </row>
    <row r="1957" spans="1:6" x14ac:dyDescent="0.2">
      <c r="A1957">
        <v>736787.62710000004</v>
      </c>
      <c r="B1957">
        <v>-149.596687</v>
      </c>
      <c r="C1957">
        <v>-17.020285000000001</v>
      </c>
      <c r="D1957">
        <v>172.798388462753</v>
      </c>
      <c r="E1957">
        <v>30.4223997843505</v>
      </c>
      <c r="F1957">
        <v>10.560559320704201</v>
      </c>
    </row>
    <row r="1958" spans="1:6" x14ac:dyDescent="0.2">
      <c r="A1958">
        <v>736787.62710000004</v>
      </c>
      <c r="B1958">
        <v>-149.5967</v>
      </c>
      <c r="C1958">
        <v>-17.020292000000001</v>
      </c>
      <c r="D1958">
        <v>172.798388462753</v>
      </c>
      <c r="E1958">
        <v>30.4223997843505</v>
      </c>
      <c r="F1958">
        <v>10.560559320704201</v>
      </c>
    </row>
    <row r="1959" spans="1:6" x14ac:dyDescent="0.2">
      <c r="A1959">
        <v>736787.62710000004</v>
      </c>
      <c r="B1959">
        <v>-149.59671299999999</v>
      </c>
      <c r="C1959">
        <v>-17.020301</v>
      </c>
      <c r="D1959">
        <v>172.798388462753</v>
      </c>
      <c r="E1959">
        <v>30.4223997843505</v>
      </c>
      <c r="F1959">
        <v>10.560559320704201</v>
      </c>
    </row>
    <row r="1960" spans="1:6" x14ac:dyDescent="0.2">
      <c r="A1960">
        <v>736787.62710000004</v>
      </c>
      <c r="B1960">
        <v>-149.59672599999999</v>
      </c>
      <c r="C1960">
        <v>-17.020302999999998</v>
      </c>
      <c r="D1960">
        <v>172.798388462753</v>
      </c>
      <c r="E1960">
        <v>30.4223997843505</v>
      </c>
      <c r="F1960">
        <v>10.560559320704201</v>
      </c>
    </row>
    <row r="1961" spans="1:6" x14ac:dyDescent="0.2">
      <c r="A1961">
        <v>736787.62710000004</v>
      </c>
      <c r="B1961">
        <v>-149.59674100000001</v>
      </c>
      <c r="C1961">
        <v>-17.020308</v>
      </c>
      <c r="D1961">
        <v>172.798388462753</v>
      </c>
      <c r="E1961">
        <v>30.4223997843505</v>
      </c>
      <c r="F1961">
        <v>10.560559320704201</v>
      </c>
    </row>
    <row r="1962" spans="1:6" x14ac:dyDescent="0.2">
      <c r="A1962">
        <v>736787.62710000004</v>
      </c>
      <c r="B1962">
        <v>-149.59675200000001</v>
      </c>
      <c r="C1962">
        <v>-17.020316000000001</v>
      </c>
      <c r="D1962">
        <v>172.798388462753</v>
      </c>
      <c r="E1962">
        <v>30.4223997843505</v>
      </c>
      <c r="F1962">
        <v>10.560559320704201</v>
      </c>
    </row>
    <row r="1963" spans="1:6" x14ac:dyDescent="0.2">
      <c r="A1963">
        <v>736787.62710000004</v>
      </c>
      <c r="B1963">
        <v>-149.59675999999999</v>
      </c>
      <c r="C1963">
        <v>-17.020320999999999</v>
      </c>
      <c r="D1963">
        <v>172.798388462753</v>
      </c>
      <c r="E1963">
        <v>30.4223997843505</v>
      </c>
      <c r="F1963">
        <v>10.560559320704201</v>
      </c>
    </row>
    <row r="1964" spans="1:6" x14ac:dyDescent="0.2">
      <c r="A1964">
        <v>736787.62719999999</v>
      </c>
      <c r="B1964">
        <v>-149.59677199999999</v>
      </c>
      <c r="C1964">
        <v>-17.020320999999999</v>
      </c>
      <c r="D1964">
        <v>168.027205227086</v>
      </c>
      <c r="E1964">
        <v>30.3</v>
      </c>
      <c r="F1964">
        <v>10.2882403244398</v>
      </c>
    </row>
    <row r="1965" spans="1:6" x14ac:dyDescent="0.2">
      <c r="A1965">
        <v>736787.62719999999</v>
      </c>
      <c r="B1965">
        <v>-149.59678400000001</v>
      </c>
      <c r="C1965">
        <v>-17.020327000000002</v>
      </c>
      <c r="D1965">
        <v>168.027205227086</v>
      </c>
      <c r="E1965">
        <v>30.3</v>
      </c>
      <c r="F1965">
        <v>10.2882403244398</v>
      </c>
    </row>
    <row r="1966" spans="1:6" x14ac:dyDescent="0.2">
      <c r="A1966">
        <v>736787.62719999999</v>
      </c>
      <c r="B1966">
        <v>-149.59679600000001</v>
      </c>
      <c r="C1966">
        <v>-17.020333000000001</v>
      </c>
      <c r="D1966">
        <v>168.027205227086</v>
      </c>
      <c r="E1966">
        <v>30.3</v>
      </c>
      <c r="F1966">
        <v>10.2882403244398</v>
      </c>
    </row>
    <row r="1967" spans="1:6" x14ac:dyDescent="0.2">
      <c r="A1967">
        <v>736787.62719999999</v>
      </c>
      <c r="B1967">
        <v>-149.59680900000001</v>
      </c>
      <c r="C1967">
        <v>-17.020333999999998</v>
      </c>
      <c r="D1967">
        <v>168.027205227086</v>
      </c>
      <c r="E1967">
        <v>30.3</v>
      </c>
      <c r="F1967">
        <v>10.2882403244398</v>
      </c>
    </row>
    <row r="1968" spans="1:6" x14ac:dyDescent="0.2">
      <c r="A1968">
        <v>736787.62719999999</v>
      </c>
      <c r="B1968">
        <v>-149.596824</v>
      </c>
      <c r="C1968">
        <v>-17.020337000000001</v>
      </c>
      <c r="D1968">
        <v>168.027205227086</v>
      </c>
      <c r="E1968">
        <v>30.3</v>
      </c>
      <c r="F1968">
        <v>10.2882403244398</v>
      </c>
    </row>
    <row r="1969" spans="1:6" x14ac:dyDescent="0.2">
      <c r="A1969">
        <v>736787.62719999999</v>
      </c>
      <c r="B1969">
        <v>-149.59683899999999</v>
      </c>
      <c r="C1969">
        <v>-17.020343</v>
      </c>
      <c r="D1969">
        <v>168.027205227086</v>
      </c>
      <c r="E1969">
        <v>30.3</v>
      </c>
      <c r="F1969">
        <v>10.2882403244398</v>
      </c>
    </row>
    <row r="1970" spans="1:6" x14ac:dyDescent="0.2">
      <c r="A1970">
        <v>736787.62719999999</v>
      </c>
      <c r="B1970">
        <v>-149.59685200000001</v>
      </c>
      <c r="C1970">
        <v>-17.020343</v>
      </c>
      <c r="D1970">
        <v>168.027205227086</v>
      </c>
      <c r="E1970">
        <v>30.3</v>
      </c>
      <c r="F1970">
        <v>10.2882403244398</v>
      </c>
    </row>
    <row r="1971" spans="1:6" x14ac:dyDescent="0.2">
      <c r="A1971">
        <v>736787.62719999999</v>
      </c>
      <c r="B1971">
        <v>-149.59686300000001</v>
      </c>
      <c r="C1971">
        <v>-17.020344000000001</v>
      </c>
      <c r="D1971">
        <v>168.027205227086</v>
      </c>
      <c r="E1971">
        <v>30.3</v>
      </c>
      <c r="F1971">
        <v>10.2882403244398</v>
      </c>
    </row>
    <row r="1972" spans="1:6" x14ac:dyDescent="0.2">
      <c r="A1972">
        <v>736787.62719999999</v>
      </c>
      <c r="B1972">
        <v>-149.59687199999999</v>
      </c>
      <c r="C1972">
        <v>-17.020349</v>
      </c>
      <c r="D1972">
        <v>168.027205227086</v>
      </c>
      <c r="E1972">
        <v>30.3</v>
      </c>
      <c r="F1972">
        <v>10.2882403244398</v>
      </c>
    </row>
    <row r="1973" spans="1:6" x14ac:dyDescent="0.2">
      <c r="A1973">
        <v>736787.62730000005</v>
      </c>
      <c r="B1973">
        <v>-149.59688299999999</v>
      </c>
      <c r="C1973">
        <v>-17.020351000000002</v>
      </c>
      <c r="D1973">
        <v>162.5</v>
      </c>
      <c r="E1973">
        <v>30.3</v>
      </c>
      <c r="F1973">
        <v>9.9600000000000009</v>
      </c>
    </row>
    <row r="1974" spans="1:6" x14ac:dyDescent="0.2">
      <c r="A1974">
        <v>736787.62730000005</v>
      </c>
      <c r="B1974">
        <v>-149.596903</v>
      </c>
      <c r="C1974">
        <v>-17.020353</v>
      </c>
      <c r="D1974">
        <v>162.5</v>
      </c>
      <c r="E1974">
        <v>30.3</v>
      </c>
      <c r="F1974">
        <v>9.9600000000000009</v>
      </c>
    </row>
    <row r="1975" spans="1:6" x14ac:dyDescent="0.2">
      <c r="A1975">
        <v>736787.62730000005</v>
      </c>
      <c r="B1975">
        <v>-149.596915</v>
      </c>
      <c r="C1975">
        <v>-17.020357000000001</v>
      </c>
      <c r="D1975">
        <v>162.5</v>
      </c>
      <c r="E1975">
        <v>30.3</v>
      </c>
      <c r="F1975">
        <v>9.9600000000000009</v>
      </c>
    </row>
    <row r="1976" spans="1:6" x14ac:dyDescent="0.2">
      <c r="A1976">
        <v>736787.62730000005</v>
      </c>
      <c r="B1976">
        <v>-149.596935</v>
      </c>
      <c r="C1976">
        <v>-17.020354000000001</v>
      </c>
      <c r="D1976">
        <v>162.5</v>
      </c>
      <c r="E1976">
        <v>30.3</v>
      </c>
      <c r="F1976">
        <v>9.9600000000000009</v>
      </c>
    </row>
    <row r="1977" spans="1:6" x14ac:dyDescent="0.2">
      <c r="A1977">
        <v>736787.62730000005</v>
      </c>
      <c r="B1977">
        <v>-149.596946</v>
      </c>
      <c r="C1977">
        <v>-17.020356</v>
      </c>
      <c r="D1977">
        <v>162.5</v>
      </c>
      <c r="E1977">
        <v>30.3</v>
      </c>
      <c r="F1977">
        <v>9.9600000000000009</v>
      </c>
    </row>
    <row r="1978" spans="1:6" x14ac:dyDescent="0.2">
      <c r="A1978">
        <v>736787.62730000005</v>
      </c>
      <c r="B1978">
        <v>-149.59696500000001</v>
      </c>
      <c r="C1978">
        <v>-17.02036</v>
      </c>
      <c r="D1978">
        <v>162.5</v>
      </c>
      <c r="E1978">
        <v>30.3</v>
      </c>
      <c r="F1978">
        <v>9.9600000000000009</v>
      </c>
    </row>
    <row r="1979" spans="1:6" x14ac:dyDescent="0.2">
      <c r="A1979">
        <v>736787.6274</v>
      </c>
      <c r="B1979">
        <v>-149.59697499999999</v>
      </c>
      <c r="C1979">
        <v>-17.020364000000001</v>
      </c>
      <c r="D1979">
        <v>160.72080076121199</v>
      </c>
      <c r="E1979">
        <v>30.3</v>
      </c>
      <c r="F1979">
        <v>9.8456800415206605</v>
      </c>
    </row>
    <row r="1980" spans="1:6" x14ac:dyDescent="0.2">
      <c r="A1980">
        <v>736787.6274</v>
      </c>
      <c r="B1980">
        <v>-149.59698800000001</v>
      </c>
      <c r="C1980">
        <v>-17.02037</v>
      </c>
      <c r="D1980">
        <v>160.72080076121199</v>
      </c>
      <c r="E1980">
        <v>30.3</v>
      </c>
      <c r="F1980">
        <v>9.8456800415206605</v>
      </c>
    </row>
    <row r="1981" spans="1:6" x14ac:dyDescent="0.2">
      <c r="A1981">
        <v>736787.6274</v>
      </c>
      <c r="B1981">
        <v>-149.59699900000001</v>
      </c>
      <c r="C1981">
        <v>-17.020371000000001</v>
      </c>
      <c r="D1981">
        <v>160.72080076121199</v>
      </c>
      <c r="E1981">
        <v>30.3</v>
      </c>
      <c r="F1981">
        <v>9.8456800415206605</v>
      </c>
    </row>
    <row r="1982" spans="1:6" x14ac:dyDescent="0.2">
      <c r="A1982">
        <v>736787.6274</v>
      </c>
      <c r="B1982">
        <v>-149.597015</v>
      </c>
      <c r="C1982">
        <v>-17.020374</v>
      </c>
      <c r="D1982">
        <v>160.72080076121199</v>
      </c>
      <c r="E1982">
        <v>30.3</v>
      </c>
      <c r="F1982">
        <v>9.8456800415206605</v>
      </c>
    </row>
    <row r="1983" spans="1:6" x14ac:dyDescent="0.2">
      <c r="A1983">
        <v>736787.6274</v>
      </c>
      <c r="B1983">
        <v>-149.597026</v>
      </c>
      <c r="C1983">
        <v>-17.020374</v>
      </c>
      <c r="D1983">
        <v>160.72080076121199</v>
      </c>
      <c r="E1983">
        <v>30.3</v>
      </c>
      <c r="F1983">
        <v>9.8456800415206605</v>
      </c>
    </row>
    <row r="1984" spans="1:6" x14ac:dyDescent="0.2">
      <c r="A1984">
        <v>736787.62749999994</v>
      </c>
      <c r="B1984">
        <v>-149.59704400000001</v>
      </c>
      <c r="C1984">
        <v>-17.020374</v>
      </c>
      <c r="D1984">
        <v>159.69999999999999</v>
      </c>
      <c r="E1984">
        <v>30.3</v>
      </c>
      <c r="F1984">
        <v>9.7899999999999991</v>
      </c>
    </row>
    <row r="1985" spans="1:6" x14ac:dyDescent="0.2">
      <c r="A1985">
        <v>736787.62749999994</v>
      </c>
      <c r="B1985">
        <v>-149.59706199999999</v>
      </c>
      <c r="C1985">
        <v>-17.020377</v>
      </c>
      <c r="D1985">
        <v>159.69999999999999</v>
      </c>
      <c r="E1985">
        <v>30.3</v>
      </c>
      <c r="F1985">
        <v>9.7899999999999991</v>
      </c>
    </row>
    <row r="1986" spans="1:6" x14ac:dyDescent="0.2">
      <c r="A1986">
        <v>736787.62749999994</v>
      </c>
      <c r="B1986">
        <v>-149.59707800000001</v>
      </c>
      <c r="C1986">
        <v>-17.020378000000001</v>
      </c>
      <c r="D1986">
        <v>159.69999999999999</v>
      </c>
      <c r="E1986">
        <v>30.3</v>
      </c>
      <c r="F1986">
        <v>9.7899999999999991</v>
      </c>
    </row>
    <row r="1987" spans="1:6" x14ac:dyDescent="0.2">
      <c r="A1987">
        <v>736787.62749999994</v>
      </c>
      <c r="B1987">
        <v>-149.59708900000001</v>
      </c>
      <c r="C1987">
        <v>-17.020379999999999</v>
      </c>
      <c r="D1987">
        <v>159.69999999999999</v>
      </c>
      <c r="E1987">
        <v>30.3</v>
      </c>
      <c r="F1987">
        <v>9.7899999999999991</v>
      </c>
    </row>
    <row r="1988" spans="1:6" x14ac:dyDescent="0.2">
      <c r="A1988">
        <v>736787.62749999994</v>
      </c>
      <c r="B1988">
        <v>-149.597103</v>
      </c>
      <c r="C1988">
        <v>-17.020381</v>
      </c>
      <c r="D1988">
        <v>159.69999999999999</v>
      </c>
      <c r="E1988">
        <v>30.3</v>
      </c>
      <c r="F1988">
        <v>9.7899999999999991</v>
      </c>
    </row>
    <row r="1989" spans="1:6" x14ac:dyDescent="0.2">
      <c r="A1989">
        <v>736787.62749999994</v>
      </c>
      <c r="B1989">
        <v>-149.597115</v>
      </c>
      <c r="C1989">
        <v>-17.020381</v>
      </c>
      <c r="D1989">
        <v>159.69999999999999</v>
      </c>
      <c r="E1989">
        <v>30.3</v>
      </c>
      <c r="F1989">
        <v>9.7899999999999991</v>
      </c>
    </row>
    <row r="1990" spans="1:6" x14ac:dyDescent="0.2">
      <c r="A1990">
        <v>736787.62760000001</v>
      </c>
      <c r="B1990">
        <v>-149.59712999999999</v>
      </c>
      <c r="C1990">
        <v>-17.020382999999999</v>
      </c>
      <c r="D1990">
        <v>158.88319982619299</v>
      </c>
      <c r="E1990">
        <v>30.3</v>
      </c>
      <c r="F1990">
        <v>9.7388799884128403</v>
      </c>
    </row>
    <row r="1991" spans="1:6" x14ac:dyDescent="0.2">
      <c r="A1991">
        <v>736787.62760000001</v>
      </c>
      <c r="B1991">
        <v>-149.59714399999999</v>
      </c>
      <c r="C1991">
        <v>-17.020382000000001</v>
      </c>
      <c r="D1991">
        <v>158.88319982619299</v>
      </c>
      <c r="E1991">
        <v>30.3</v>
      </c>
      <c r="F1991">
        <v>9.7388799884128403</v>
      </c>
    </row>
    <row r="1992" spans="1:6" x14ac:dyDescent="0.2">
      <c r="A1992">
        <v>736787.62760000001</v>
      </c>
      <c r="B1992">
        <v>-149.59715399999999</v>
      </c>
      <c r="C1992">
        <v>-17.020384</v>
      </c>
      <c r="D1992">
        <v>158.88319982619299</v>
      </c>
      <c r="E1992">
        <v>30.3</v>
      </c>
      <c r="F1992">
        <v>9.7388799884128403</v>
      </c>
    </row>
    <row r="1993" spans="1:6" x14ac:dyDescent="0.2">
      <c r="A1993">
        <v>736787.62760000001</v>
      </c>
      <c r="B1993">
        <v>-149.59717000000001</v>
      </c>
      <c r="C1993">
        <v>-17.020382000000001</v>
      </c>
      <c r="D1993">
        <v>158.88319982619299</v>
      </c>
      <c r="E1993">
        <v>30.3</v>
      </c>
      <c r="F1993">
        <v>9.7388799884128403</v>
      </c>
    </row>
    <row r="1994" spans="1:6" x14ac:dyDescent="0.2">
      <c r="A1994">
        <v>736787.62760000001</v>
      </c>
      <c r="B1994">
        <v>-149.597184</v>
      </c>
      <c r="C1994">
        <v>-17.020381</v>
      </c>
      <c r="D1994">
        <v>158.88319982619299</v>
      </c>
      <c r="E1994">
        <v>30.3</v>
      </c>
      <c r="F1994">
        <v>9.7388799884128403</v>
      </c>
    </row>
    <row r="1995" spans="1:6" x14ac:dyDescent="0.2">
      <c r="A1995">
        <v>736787.62769999995</v>
      </c>
      <c r="B1995">
        <v>-149.597195</v>
      </c>
      <c r="C1995">
        <v>-17.020381</v>
      </c>
      <c r="D1995">
        <v>158.42080051820199</v>
      </c>
      <c r="E1995">
        <v>30.3</v>
      </c>
      <c r="F1995">
        <v>9.7097600296115694</v>
      </c>
    </row>
    <row r="1996" spans="1:6" x14ac:dyDescent="0.2">
      <c r="A1996">
        <v>736787.62769999995</v>
      </c>
      <c r="B1996">
        <v>-149.597205</v>
      </c>
      <c r="C1996">
        <v>-17.020378000000001</v>
      </c>
      <c r="D1996">
        <v>158.42080051820199</v>
      </c>
      <c r="E1996">
        <v>30.3</v>
      </c>
      <c r="F1996">
        <v>9.7097600296115694</v>
      </c>
    </row>
    <row r="1997" spans="1:6" x14ac:dyDescent="0.2">
      <c r="A1997">
        <v>736787.62769999995</v>
      </c>
      <c r="B1997">
        <v>-149.59721999999999</v>
      </c>
      <c r="C1997">
        <v>-17.020384</v>
      </c>
      <c r="D1997">
        <v>158.42080051820199</v>
      </c>
      <c r="E1997">
        <v>30.3</v>
      </c>
      <c r="F1997">
        <v>9.7097600296115694</v>
      </c>
    </row>
    <row r="1998" spans="1:6" x14ac:dyDescent="0.2">
      <c r="A1998">
        <v>736787.62769999995</v>
      </c>
      <c r="B1998">
        <v>-149.597239</v>
      </c>
      <c r="C1998">
        <v>-17.020375999999999</v>
      </c>
      <c r="D1998">
        <v>158.42080051820199</v>
      </c>
      <c r="E1998">
        <v>30.3</v>
      </c>
      <c r="F1998">
        <v>9.7097600296115694</v>
      </c>
    </row>
    <row r="1999" spans="1:6" x14ac:dyDescent="0.2">
      <c r="A1999">
        <v>736787.62769999995</v>
      </c>
      <c r="B1999">
        <v>-149.59725</v>
      </c>
      <c r="C1999">
        <v>-17.020378000000001</v>
      </c>
      <c r="D1999">
        <v>158.42080051820199</v>
      </c>
      <c r="E1999">
        <v>30.3</v>
      </c>
      <c r="F1999">
        <v>9.7097600296115694</v>
      </c>
    </row>
    <row r="2000" spans="1:6" x14ac:dyDescent="0.2">
      <c r="A2000">
        <v>736787.62769999995</v>
      </c>
      <c r="B2000">
        <v>-149.597263</v>
      </c>
      <c r="C2000">
        <v>-17.020382999999999</v>
      </c>
      <c r="D2000">
        <v>158.42080051820199</v>
      </c>
      <c r="E2000">
        <v>30.3</v>
      </c>
      <c r="F2000">
        <v>9.7097600296115694</v>
      </c>
    </row>
    <row r="2001" spans="1:6" x14ac:dyDescent="0.2">
      <c r="A2001">
        <v>736787.62769999995</v>
      </c>
      <c r="B2001">
        <v>-149.59727699999999</v>
      </c>
      <c r="C2001">
        <v>-17.020379999999999</v>
      </c>
      <c r="D2001">
        <v>158.42080051820199</v>
      </c>
      <c r="E2001">
        <v>30.3</v>
      </c>
      <c r="F2001">
        <v>9.7097600296115694</v>
      </c>
    </row>
    <row r="2002" spans="1:6" x14ac:dyDescent="0.2">
      <c r="A2002">
        <v>736787.62780000002</v>
      </c>
      <c r="B2002">
        <v>-149.59730400000001</v>
      </c>
      <c r="C2002">
        <v>-17.020379999999999</v>
      </c>
      <c r="D2002">
        <v>156.22719783867299</v>
      </c>
      <c r="E2002">
        <v>30.201599872863099</v>
      </c>
      <c r="F2002">
        <v>9.5914398855768006</v>
      </c>
    </row>
    <row r="2003" spans="1:6" x14ac:dyDescent="0.2">
      <c r="A2003">
        <v>736787.62780000002</v>
      </c>
      <c r="B2003">
        <v>-149.59731600000001</v>
      </c>
      <c r="C2003">
        <v>-17.020375999999999</v>
      </c>
      <c r="D2003">
        <v>156.22719783867299</v>
      </c>
      <c r="E2003">
        <v>30.201599872863099</v>
      </c>
      <c r="F2003">
        <v>9.5914398855768006</v>
      </c>
    </row>
    <row r="2004" spans="1:6" x14ac:dyDescent="0.2">
      <c r="A2004">
        <v>736787.62780000002</v>
      </c>
      <c r="B2004">
        <v>-149.59733</v>
      </c>
      <c r="C2004">
        <v>-17.020371000000001</v>
      </c>
      <c r="D2004">
        <v>156.22719783867299</v>
      </c>
      <c r="E2004">
        <v>30.201599872863099</v>
      </c>
      <c r="F2004">
        <v>9.5914398855768006</v>
      </c>
    </row>
    <row r="2005" spans="1:6" x14ac:dyDescent="0.2">
      <c r="A2005">
        <v>736787.62780000002</v>
      </c>
      <c r="B2005">
        <v>-149.59734</v>
      </c>
      <c r="C2005">
        <v>-17.020372999999999</v>
      </c>
      <c r="D2005">
        <v>156.22719783867299</v>
      </c>
      <c r="E2005">
        <v>30.201599872863099</v>
      </c>
      <c r="F2005">
        <v>9.5914398855768006</v>
      </c>
    </row>
    <row r="2006" spans="1:6" x14ac:dyDescent="0.2">
      <c r="A2006">
        <v>736787.62780000002</v>
      </c>
      <c r="B2006">
        <v>-149.597352</v>
      </c>
      <c r="C2006">
        <v>-17.020371000000001</v>
      </c>
      <c r="D2006">
        <v>156.22719783867299</v>
      </c>
      <c r="E2006">
        <v>30.201599872863099</v>
      </c>
      <c r="F2006">
        <v>9.5914398855768006</v>
      </c>
    </row>
    <row r="2007" spans="1:6" x14ac:dyDescent="0.2">
      <c r="A2007">
        <v>736787.62780000002</v>
      </c>
      <c r="B2007">
        <v>-149.597364</v>
      </c>
      <c r="C2007">
        <v>-17.020368000000001</v>
      </c>
      <c r="D2007">
        <v>156.22719783867299</v>
      </c>
      <c r="E2007">
        <v>30.201599872863099</v>
      </c>
      <c r="F2007">
        <v>9.5914398855768006</v>
      </c>
    </row>
    <row r="2008" spans="1:6" x14ac:dyDescent="0.2">
      <c r="A2008">
        <v>736787.62780000002</v>
      </c>
      <c r="B2008">
        <v>-149.597376</v>
      </c>
      <c r="C2008">
        <v>-17.020371000000001</v>
      </c>
      <c r="D2008">
        <v>156.22719783867299</v>
      </c>
      <c r="E2008">
        <v>30.201599872863099</v>
      </c>
      <c r="F2008">
        <v>9.5914398855768006</v>
      </c>
    </row>
    <row r="2009" spans="1:6" x14ac:dyDescent="0.2">
      <c r="A2009">
        <v>736787.62780000002</v>
      </c>
      <c r="B2009">
        <v>-149.597388</v>
      </c>
      <c r="C2009">
        <v>-17.020374</v>
      </c>
      <c r="D2009">
        <v>156.22719783867299</v>
      </c>
      <c r="E2009">
        <v>30.201599872863099</v>
      </c>
      <c r="F2009">
        <v>9.5914398855768006</v>
      </c>
    </row>
    <row r="2010" spans="1:6" x14ac:dyDescent="0.2">
      <c r="A2010">
        <v>736787.62789999996</v>
      </c>
      <c r="B2010">
        <v>-149.59739999999999</v>
      </c>
      <c r="C2010">
        <v>-17.020371999999998</v>
      </c>
      <c r="D2010">
        <v>154.42880006759199</v>
      </c>
      <c r="E2010">
        <v>30.128800067591602</v>
      </c>
      <c r="F2010">
        <v>9.49</v>
      </c>
    </row>
    <row r="2011" spans="1:6" x14ac:dyDescent="0.2">
      <c r="A2011">
        <v>736787.62789999996</v>
      </c>
      <c r="B2011">
        <v>-149.59741199999999</v>
      </c>
      <c r="C2011">
        <v>-17.020372999999999</v>
      </c>
      <c r="D2011">
        <v>154.42880006759199</v>
      </c>
      <c r="E2011">
        <v>30.128800067591602</v>
      </c>
      <c r="F2011">
        <v>9.49</v>
      </c>
    </row>
    <row r="2012" spans="1:6" x14ac:dyDescent="0.2">
      <c r="A2012">
        <v>736787.62789999996</v>
      </c>
      <c r="B2012">
        <v>-149.59742399999999</v>
      </c>
      <c r="C2012">
        <v>-17.020377</v>
      </c>
      <c r="D2012">
        <v>154.42880006759199</v>
      </c>
      <c r="E2012">
        <v>30.128800067591602</v>
      </c>
      <c r="F2012">
        <v>9.49</v>
      </c>
    </row>
    <row r="2013" spans="1:6" x14ac:dyDescent="0.2">
      <c r="A2013">
        <v>736787.62789999996</v>
      </c>
      <c r="B2013">
        <v>-149.59743800000001</v>
      </c>
      <c r="C2013">
        <v>-17.020374</v>
      </c>
      <c r="D2013">
        <v>154.42880006759199</v>
      </c>
      <c r="E2013">
        <v>30.128800067591602</v>
      </c>
      <c r="F2013">
        <v>9.49</v>
      </c>
    </row>
    <row r="2014" spans="1:6" x14ac:dyDescent="0.2">
      <c r="A2014">
        <v>736787.62789999996</v>
      </c>
      <c r="B2014">
        <v>-149.597452</v>
      </c>
      <c r="C2014">
        <v>-17.020374</v>
      </c>
      <c r="D2014">
        <v>154.42880006759199</v>
      </c>
      <c r="E2014">
        <v>30.128800067591602</v>
      </c>
      <c r="F2014">
        <v>9.49</v>
      </c>
    </row>
    <row r="2015" spans="1:6" x14ac:dyDescent="0.2">
      <c r="A2015">
        <v>736787.62789999996</v>
      </c>
      <c r="B2015">
        <v>-149.59746200000001</v>
      </c>
      <c r="C2015">
        <v>-17.020378999999998</v>
      </c>
      <c r="D2015">
        <v>154.42880006759199</v>
      </c>
      <c r="E2015">
        <v>30.128800067591602</v>
      </c>
      <c r="F2015">
        <v>9.49</v>
      </c>
    </row>
    <row r="2016" spans="1:6" x14ac:dyDescent="0.2">
      <c r="A2016">
        <v>736787.62789999996</v>
      </c>
      <c r="B2016">
        <v>-149.59747200000001</v>
      </c>
      <c r="C2016">
        <v>-17.020378000000001</v>
      </c>
      <c r="D2016">
        <v>154.42880006759199</v>
      </c>
      <c r="E2016">
        <v>30.128800067591602</v>
      </c>
      <c r="F2016">
        <v>9.49</v>
      </c>
    </row>
    <row r="2017" spans="1:6" x14ac:dyDescent="0.2">
      <c r="A2017">
        <v>736787.62789999996</v>
      </c>
      <c r="B2017">
        <v>-149.59748999999999</v>
      </c>
      <c r="C2017">
        <v>-17.020378999999998</v>
      </c>
      <c r="D2017">
        <v>154.42880006759199</v>
      </c>
      <c r="E2017">
        <v>30.128800067591602</v>
      </c>
      <c r="F2017">
        <v>9.49</v>
      </c>
    </row>
    <row r="2018" spans="1:6" x14ac:dyDescent="0.2">
      <c r="A2018">
        <v>736787.62800000003</v>
      </c>
      <c r="B2018">
        <v>-149.59750600000001</v>
      </c>
      <c r="C2018">
        <v>-17.020386999999999</v>
      </c>
      <c r="D2018">
        <v>152.57000015087399</v>
      </c>
      <c r="E2018">
        <v>30.1</v>
      </c>
      <c r="F2018">
        <v>9.3802000090524604</v>
      </c>
    </row>
    <row r="2019" spans="1:6" x14ac:dyDescent="0.2">
      <c r="A2019">
        <v>736787.62800000003</v>
      </c>
      <c r="B2019">
        <v>-149.59752399999999</v>
      </c>
      <c r="C2019">
        <v>-17.020386999999999</v>
      </c>
      <c r="D2019">
        <v>152.57000015087399</v>
      </c>
      <c r="E2019">
        <v>30.1</v>
      </c>
      <c r="F2019">
        <v>9.3802000090524604</v>
      </c>
    </row>
    <row r="2020" spans="1:6" x14ac:dyDescent="0.2">
      <c r="A2020">
        <v>736787.62800000003</v>
      </c>
      <c r="B2020">
        <v>-149.59754599999999</v>
      </c>
      <c r="C2020">
        <v>-17.020396000000002</v>
      </c>
      <c r="D2020">
        <v>152.57000015087399</v>
      </c>
      <c r="E2020">
        <v>30.1</v>
      </c>
      <c r="F2020">
        <v>9.3802000090524604</v>
      </c>
    </row>
    <row r="2021" spans="1:6" x14ac:dyDescent="0.2">
      <c r="A2021">
        <v>736787.62800000003</v>
      </c>
      <c r="B2021">
        <v>-149.59756400000001</v>
      </c>
      <c r="C2021">
        <v>-17.020392000000001</v>
      </c>
      <c r="D2021">
        <v>152.57000015087399</v>
      </c>
      <c r="E2021">
        <v>30.1</v>
      </c>
      <c r="F2021">
        <v>9.3802000090524604</v>
      </c>
    </row>
    <row r="2022" spans="1:6" x14ac:dyDescent="0.2">
      <c r="A2022">
        <v>736787.62800000003</v>
      </c>
      <c r="B2022">
        <v>-149.597576</v>
      </c>
      <c r="C2022">
        <v>-17.020394</v>
      </c>
      <c r="D2022">
        <v>152.57000015087399</v>
      </c>
      <c r="E2022">
        <v>30.1</v>
      </c>
      <c r="F2022">
        <v>9.3802000090524604</v>
      </c>
    </row>
    <row r="2023" spans="1:6" x14ac:dyDescent="0.2">
      <c r="A2023">
        <v>736787.62800000003</v>
      </c>
      <c r="B2023">
        <v>-149.59759</v>
      </c>
      <c r="C2023">
        <v>-17.020396000000002</v>
      </c>
      <c r="D2023">
        <v>152.57000015087399</v>
      </c>
      <c r="E2023">
        <v>30.1</v>
      </c>
      <c r="F2023">
        <v>9.3802000090524604</v>
      </c>
    </row>
    <row r="2024" spans="1:6" x14ac:dyDescent="0.2">
      <c r="A2024">
        <v>736787.62800000003</v>
      </c>
      <c r="B2024">
        <v>-149.59760199999999</v>
      </c>
      <c r="C2024">
        <v>-17.020392999999999</v>
      </c>
      <c r="D2024">
        <v>152.57000015087399</v>
      </c>
      <c r="E2024">
        <v>30.1</v>
      </c>
      <c r="F2024">
        <v>9.3802000090524604</v>
      </c>
    </row>
    <row r="2025" spans="1:6" x14ac:dyDescent="0.2">
      <c r="A2025">
        <v>736787.62809999997</v>
      </c>
      <c r="B2025">
        <v>-149.59761399999999</v>
      </c>
      <c r="C2025">
        <v>-17.020392000000001</v>
      </c>
      <c r="D2025">
        <v>151.28240042808</v>
      </c>
      <c r="E2025">
        <v>30.1</v>
      </c>
      <c r="F2025">
        <v>9.3032800244617295</v>
      </c>
    </row>
    <row r="2026" spans="1:6" x14ac:dyDescent="0.2">
      <c r="A2026">
        <v>736787.62809999997</v>
      </c>
      <c r="B2026">
        <v>-149.59762599999999</v>
      </c>
      <c r="C2026">
        <v>-17.020391</v>
      </c>
      <c r="D2026">
        <v>151.28240042808</v>
      </c>
      <c r="E2026">
        <v>30.1</v>
      </c>
      <c r="F2026">
        <v>9.3032800244617295</v>
      </c>
    </row>
    <row r="2027" spans="1:6" x14ac:dyDescent="0.2">
      <c r="A2027">
        <v>736787.62809999997</v>
      </c>
      <c r="B2027">
        <v>-149.59763599999999</v>
      </c>
      <c r="C2027">
        <v>-17.020392000000001</v>
      </c>
      <c r="D2027">
        <v>151.28240042808</v>
      </c>
      <c r="E2027">
        <v>30.1</v>
      </c>
      <c r="F2027">
        <v>9.3032800244617295</v>
      </c>
    </row>
    <row r="2028" spans="1:6" x14ac:dyDescent="0.2">
      <c r="A2028">
        <v>736787.62809999997</v>
      </c>
      <c r="B2028">
        <v>-149.597656</v>
      </c>
      <c r="C2028">
        <v>-17.020394</v>
      </c>
      <c r="D2028">
        <v>151.28240042808</v>
      </c>
      <c r="E2028">
        <v>30.1</v>
      </c>
      <c r="F2028">
        <v>9.3032800244617295</v>
      </c>
    </row>
    <row r="2029" spans="1:6" x14ac:dyDescent="0.2">
      <c r="A2029">
        <v>736787.62809999997</v>
      </c>
      <c r="B2029">
        <v>-149.597666</v>
      </c>
      <c r="C2029">
        <v>-17.020392000000001</v>
      </c>
      <c r="D2029">
        <v>151.28240042808</v>
      </c>
      <c r="E2029">
        <v>30.1</v>
      </c>
      <c r="F2029">
        <v>9.3032800244617295</v>
      </c>
    </row>
    <row r="2030" spans="1:6" x14ac:dyDescent="0.2">
      <c r="A2030">
        <v>736787.62809999997</v>
      </c>
      <c r="B2030">
        <v>-149.59768399999999</v>
      </c>
      <c r="C2030">
        <v>-17.020394</v>
      </c>
      <c r="D2030">
        <v>151.28240042808</v>
      </c>
      <c r="E2030">
        <v>30.1</v>
      </c>
      <c r="F2030">
        <v>9.3032800244617295</v>
      </c>
    </row>
    <row r="2031" spans="1:6" x14ac:dyDescent="0.2">
      <c r="A2031">
        <v>736787.62809999997</v>
      </c>
      <c r="B2031">
        <v>-149.59769600000001</v>
      </c>
      <c r="C2031">
        <v>-17.020395000000001</v>
      </c>
      <c r="D2031">
        <v>151.28240042808</v>
      </c>
      <c r="E2031">
        <v>30.1</v>
      </c>
      <c r="F2031">
        <v>9.3032800244617295</v>
      </c>
    </row>
    <row r="2032" spans="1:6" x14ac:dyDescent="0.2">
      <c r="A2032">
        <v>736787.62820000004</v>
      </c>
      <c r="B2032">
        <v>-149.59770800000001</v>
      </c>
      <c r="C2032">
        <v>-17.020392999999999</v>
      </c>
      <c r="D2032">
        <v>149.983199021529</v>
      </c>
      <c r="E2032">
        <v>30.0103998776911</v>
      </c>
      <c r="F2032">
        <v>9.2251999388455506</v>
      </c>
    </row>
    <row r="2033" spans="1:6" x14ac:dyDescent="0.2">
      <c r="A2033">
        <v>736787.62820000004</v>
      </c>
      <c r="B2033">
        <v>-149.59772000000001</v>
      </c>
      <c r="C2033">
        <v>-17.020392999999999</v>
      </c>
      <c r="D2033">
        <v>149.983199021529</v>
      </c>
      <c r="E2033">
        <v>30.0103998776911</v>
      </c>
      <c r="F2033">
        <v>9.2251999388455506</v>
      </c>
    </row>
    <row r="2034" spans="1:6" x14ac:dyDescent="0.2">
      <c r="A2034">
        <v>736787.62820000004</v>
      </c>
      <c r="B2034">
        <v>-149.597736</v>
      </c>
      <c r="C2034">
        <v>-17.020395000000001</v>
      </c>
      <c r="D2034">
        <v>149.983199021529</v>
      </c>
      <c r="E2034">
        <v>30.0103998776911</v>
      </c>
      <c r="F2034">
        <v>9.2251999388455506</v>
      </c>
    </row>
    <row r="2035" spans="1:6" x14ac:dyDescent="0.2">
      <c r="A2035">
        <v>736787.62820000004</v>
      </c>
      <c r="B2035">
        <v>-149.59775200000001</v>
      </c>
      <c r="C2035">
        <v>-17.020389999999999</v>
      </c>
      <c r="D2035">
        <v>149.983199021529</v>
      </c>
      <c r="E2035">
        <v>30.0103998776911</v>
      </c>
      <c r="F2035">
        <v>9.2251999388455506</v>
      </c>
    </row>
    <row r="2036" spans="1:6" x14ac:dyDescent="0.2">
      <c r="A2036">
        <v>736787.62820000004</v>
      </c>
      <c r="B2036">
        <v>-149.59777</v>
      </c>
      <c r="C2036">
        <v>-17.020386999999999</v>
      </c>
      <c r="D2036">
        <v>149.983199021529</v>
      </c>
      <c r="E2036">
        <v>30.0103998776911</v>
      </c>
      <c r="F2036">
        <v>9.2251999388455506</v>
      </c>
    </row>
    <row r="2037" spans="1:6" x14ac:dyDescent="0.2">
      <c r="A2037">
        <v>736787.62829999998</v>
      </c>
      <c r="B2037">
        <v>-149.597782</v>
      </c>
      <c r="C2037">
        <v>-17.020386999999999</v>
      </c>
      <c r="D2037">
        <v>149.27600054717001</v>
      </c>
      <c r="E2037">
        <v>30</v>
      </c>
      <c r="F2037">
        <v>9.1863200383019201</v>
      </c>
    </row>
    <row r="2038" spans="1:6" x14ac:dyDescent="0.2">
      <c r="A2038">
        <v>736787.62829999998</v>
      </c>
      <c r="B2038">
        <v>-149.59779800000001</v>
      </c>
      <c r="C2038">
        <v>-17.020385999999998</v>
      </c>
      <c r="D2038">
        <v>149.27600054717001</v>
      </c>
      <c r="E2038">
        <v>30</v>
      </c>
      <c r="F2038">
        <v>9.1863200383019201</v>
      </c>
    </row>
    <row r="2039" spans="1:6" x14ac:dyDescent="0.2">
      <c r="A2039">
        <v>736787.62829999998</v>
      </c>
      <c r="B2039">
        <v>-149.59780799999999</v>
      </c>
      <c r="C2039">
        <v>-17.020386999999999</v>
      </c>
      <c r="D2039">
        <v>149.27600054717001</v>
      </c>
      <c r="E2039">
        <v>30</v>
      </c>
      <c r="F2039">
        <v>9.1863200383019201</v>
      </c>
    </row>
    <row r="2040" spans="1:6" x14ac:dyDescent="0.2">
      <c r="A2040">
        <v>736787.62829999998</v>
      </c>
      <c r="B2040">
        <v>-149.597824</v>
      </c>
      <c r="C2040">
        <v>-17.020384</v>
      </c>
      <c r="D2040">
        <v>149.27600054717001</v>
      </c>
      <c r="E2040">
        <v>30</v>
      </c>
      <c r="F2040">
        <v>9.1863200383019201</v>
      </c>
    </row>
    <row r="2041" spans="1:6" x14ac:dyDescent="0.2">
      <c r="A2041">
        <v>736787.62829999998</v>
      </c>
      <c r="B2041">
        <v>-149.59783400000001</v>
      </c>
      <c r="C2041">
        <v>-17.020382000000001</v>
      </c>
      <c r="D2041">
        <v>149.27600054717001</v>
      </c>
      <c r="E2041">
        <v>30</v>
      </c>
      <c r="F2041">
        <v>9.1863200383019201</v>
      </c>
    </row>
    <row r="2042" spans="1:6" x14ac:dyDescent="0.2">
      <c r="A2042">
        <v>736787.62840000005</v>
      </c>
      <c r="B2042">
        <v>-149.59784999999999</v>
      </c>
      <c r="C2042">
        <v>-17.020378999999998</v>
      </c>
      <c r="D2042">
        <v>148</v>
      </c>
      <c r="E2042">
        <v>30</v>
      </c>
      <c r="F2042">
        <v>9.11</v>
      </c>
    </row>
    <row r="2043" spans="1:6" x14ac:dyDescent="0.2">
      <c r="A2043">
        <v>736787.62840000005</v>
      </c>
      <c r="B2043">
        <v>-149.597858</v>
      </c>
      <c r="C2043">
        <v>-17.020374</v>
      </c>
      <c r="D2043">
        <v>148</v>
      </c>
      <c r="E2043">
        <v>30</v>
      </c>
      <c r="F2043">
        <v>9.11</v>
      </c>
    </row>
    <row r="2044" spans="1:6" x14ac:dyDescent="0.2">
      <c r="A2044">
        <v>736787.62840000005</v>
      </c>
      <c r="B2044">
        <v>-149.59786800000001</v>
      </c>
      <c r="C2044">
        <v>-17.020374</v>
      </c>
      <c r="D2044">
        <v>148</v>
      </c>
      <c r="E2044">
        <v>30</v>
      </c>
      <c r="F2044">
        <v>9.11</v>
      </c>
    </row>
    <row r="2045" spans="1:6" x14ac:dyDescent="0.2">
      <c r="A2045">
        <v>736787.62840000005</v>
      </c>
      <c r="B2045">
        <v>-149.597882</v>
      </c>
      <c r="C2045">
        <v>-17.020372999999999</v>
      </c>
      <c r="D2045">
        <v>148</v>
      </c>
      <c r="E2045">
        <v>30</v>
      </c>
      <c r="F2045">
        <v>9.11</v>
      </c>
    </row>
    <row r="2046" spans="1:6" x14ac:dyDescent="0.2">
      <c r="A2046">
        <v>736787.62840000005</v>
      </c>
      <c r="B2046">
        <v>-149.59790000000001</v>
      </c>
      <c r="C2046">
        <v>-17.020377</v>
      </c>
      <c r="D2046">
        <v>148</v>
      </c>
      <c r="E2046">
        <v>30</v>
      </c>
      <c r="F2046">
        <v>9.11</v>
      </c>
    </row>
    <row r="2047" spans="1:6" x14ac:dyDescent="0.2">
      <c r="A2047">
        <v>736787.62849999999</v>
      </c>
      <c r="B2047">
        <v>-149.59790599999999</v>
      </c>
      <c r="C2047">
        <v>-17.020382000000001</v>
      </c>
      <c r="D2047">
        <v>147.69200004827999</v>
      </c>
      <c r="E2047">
        <v>30</v>
      </c>
      <c r="F2047">
        <v>9.0992000048279706</v>
      </c>
    </row>
    <row r="2048" spans="1:6" x14ac:dyDescent="0.2">
      <c r="A2048">
        <v>736787.62849999999</v>
      </c>
      <c r="B2048">
        <v>-149.597915</v>
      </c>
      <c r="C2048">
        <v>-17.020385999999998</v>
      </c>
      <c r="D2048">
        <v>147.69200004827999</v>
      </c>
      <c r="E2048">
        <v>30</v>
      </c>
      <c r="F2048">
        <v>9.0992000048279706</v>
      </c>
    </row>
    <row r="2049" spans="1:6" x14ac:dyDescent="0.2">
      <c r="A2049">
        <v>736787.62849999999</v>
      </c>
      <c r="B2049">
        <v>-149.59793500000001</v>
      </c>
      <c r="C2049">
        <v>-17.020389999999999</v>
      </c>
      <c r="D2049">
        <v>147.69200004827999</v>
      </c>
      <c r="E2049">
        <v>30</v>
      </c>
      <c r="F2049">
        <v>9.0992000048279706</v>
      </c>
    </row>
    <row r="2050" spans="1:6" x14ac:dyDescent="0.2">
      <c r="A2050">
        <v>736787.62849999999</v>
      </c>
      <c r="B2050">
        <v>-149.59794600000001</v>
      </c>
      <c r="C2050">
        <v>-17.020392999999999</v>
      </c>
      <c r="D2050">
        <v>147.69200004827999</v>
      </c>
      <c r="E2050">
        <v>30</v>
      </c>
      <c r="F2050">
        <v>9.0992000048279706</v>
      </c>
    </row>
    <row r="2051" spans="1:6" x14ac:dyDescent="0.2">
      <c r="A2051">
        <v>736787.62849999999</v>
      </c>
      <c r="B2051">
        <v>-149.59795800000001</v>
      </c>
      <c r="C2051">
        <v>-17.020392999999999</v>
      </c>
      <c r="D2051">
        <v>147.69200004827999</v>
      </c>
      <c r="E2051">
        <v>30</v>
      </c>
      <c r="F2051">
        <v>9.0992000048279706</v>
      </c>
    </row>
    <row r="2052" spans="1:6" x14ac:dyDescent="0.2">
      <c r="A2052">
        <v>736787.62849999999</v>
      </c>
      <c r="B2052">
        <v>-149.597972</v>
      </c>
      <c r="C2052">
        <v>-17.020399000000001</v>
      </c>
      <c r="D2052">
        <v>147.69200004827999</v>
      </c>
      <c r="E2052">
        <v>30</v>
      </c>
      <c r="F2052">
        <v>9.0992000048279706</v>
      </c>
    </row>
    <row r="2053" spans="1:6" x14ac:dyDescent="0.2">
      <c r="A2053">
        <v>736787.62849999999</v>
      </c>
      <c r="B2053">
        <v>-149.597983</v>
      </c>
      <c r="C2053">
        <v>-17.020402000000001</v>
      </c>
      <c r="D2053">
        <v>147.69200004827999</v>
      </c>
      <c r="E2053">
        <v>30</v>
      </c>
      <c r="F2053">
        <v>9.0992000048279706</v>
      </c>
    </row>
    <row r="2054" spans="1:6" x14ac:dyDescent="0.2">
      <c r="A2054">
        <v>736787.62860000005</v>
      </c>
      <c r="B2054">
        <v>-149.59799799999999</v>
      </c>
      <c r="C2054">
        <v>-17.020401</v>
      </c>
      <c r="D2054">
        <v>147.6</v>
      </c>
      <c r="E2054">
        <v>30</v>
      </c>
      <c r="F2054">
        <v>9.09</v>
      </c>
    </row>
    <row r="2055" spans="1:6" x14ac:dyDescent="0.2">
      <c r="A2055">
        <v>736787.62860000005</v>
      </c>
      <c r="B2055">
        <v>-149.598015</v>
      </c>
      <c r="C2055">
        <v>-17.020402000000001</v>
      </c>
      <c r="D2055">
        <v>147.6</v>
      </c>
      <c r="E2055">
        <v>30</v>
      </c>
      <c r="F2055">
        <v>9.09</v>
      </c>
    </row>
    <row r="2056" spans="1:6" x14ac:dyDescent="0.2">
      <c r="A2056">
        <v>736787.62860000005</v>
      </c>
      <c r="B2056">
        <v>-149.59802400000001</v>
      </c>
      <c r="C2056">
        <v>-17.020408</v>
      </c>
      <c r="D2056">
        <v>147.6</v>
      </c>
      <c r="E2056">
        <v>30</v>
      </c>
      <c r="F2056">
        <v>9.09</v>
      </c>
    </row>
    <row r="2057" spans="1:6" x14ac:dyDescent="0.2">
      <c r="A2057">
        <v>736787.62860000005</v>
      </c>
      <c r="B2057">
        <v>-149.598039</v>
      </c>
      <c r="C2057">
        <v>-17.020412</v>
      </c>
      <c r="D2057">
        <v>147.6</v>
      </c>
      <c r="E2057">
        <v>30</v>
      </c>
      <c r="F2057">
        <v>9.09</v>
      </c>
    </row>
    <row r="2058" spans="1:6" x14ac:dyDescent="0.2">
      <c r="A2058">
        <v>736787.62860000005</v>
      </c>
      <c r="B2058">
        <v>-149.59805800000001</v>
      </c>
      <c r="C2058">
        <v>-17.020415</v>
      </c>
      <c r="D2058">
        <v>147.6</v>
      </c>
      <c r="E2058">
        <v>30</v>
      </c>
      <c r="F2058">
        <v>9.09</v>
      </c>
    </row>
    <row r="2059" spans="1:6" x14ac:dyDescent="0.2">
      <c r="A2059">
        <v>736787.62860000005</v>
      </c>
      <c r="B2059">
        <v>-149.59806900000001</v>
      </c>
      <c r="C2059">
        <v>-17.020417999999999</v>
      </c>
      <c r="D2059">
        <v>147.6</v>
      </c>
      <c r="E2059">
        <v>30</v>
      </c>
      <c r="F2059">
        <v>9.09</v>
      </c>
    </row>
    <row r="2060" spans="1:6" x14ac:dyDescent="0.2">
      <c r="A2060">
        <v>736787.62860000005</v>
      </c>
      <c r="B2060">
        <v>-149.598084</v>
      </c>
      <c r="C2060">
        <v>-17.020417999999999</v>
      </c>
      <c r="D2060">
        <v>147.6</v>
      </c>
      <c r="E2060">
        <v>30</v>
      </c>
      <c r="F2060">
        <v>9.09</v>
      </c>
    </row>
    <row r="2061" spans="1:6" x14ac:dyDescent="0.2">
      <c r="A2061">
        <v>736787.62860000005</v>
      </c>
      <c r="B2061">
        <v>-149.59810400000001</v>
      </c>
      <c r="C2061">
        <v>-17.020417999999999</v>
      </c>
      <c r="D2061">
        <v>147.6</v>
      </c>
      <c r="E2061">
        <v>30</v>
      </c>
      <c r="F2061">
        <v>9.09</v>
      </c>
    </row>
    <row r="2062" spans="1:6" x14ac:dyDescent="0.2">
      <c r="A2062">
        <v>736787.62860000005</v>
      </c>
      <c r="B2062">
        <v>-149.59811300000001</v>
      </c>
      <c r="C2062">
        <v>-17.020422</v>
      </c>
      <c r="D2062">
        <v>147.6</v>
      </c>
      <c r="E2062">
        <v>30</v>
      </c>
      <c r="F2062">
        <v>9.09</v>
      </c>
    </row>
    <row r="2063" spans="1:6" x14ac:dyDescent="0.2">
      <c r="A2063">
        <v>736787.6287</v>
      </c>
      <c r="B2063">
        <v>-149.59812600000001</v>
      </c>
      <c r="C2063">
        <v>-17.020423999999998</v>
      </c>
      <c r="D2063">
        <v>147.75359995815799</v>
      </c>
      <c r="E2063">
        <v>30</v>
      </c>
      <c r="F2063">
        <v>9.1</v>
      </c>
    </row>
    <row r="2064" spans="1:6" x14ac:dyDescent="0.2">
      <c r="A2064">
        <v>736787.6287</v>
      </c>
      <c r="B2064">
        <v>-149.598141</v>
      </c>
      <c r="C2064">
        <v>-17.020427000000002</v>
      </c>
      <c r="D2064">
        <v>147.75359995815799</v>
      </c>
      <c r="E2064">
        <v>30</v>
      </c>
      <c r="F2064">
        <v>9.1</v>
      </c>
    </row>
    <row r="2065" spans="1:6" x14ac:dyDescent="0.2">
      <c r="A2065">
        <v>736787.6287</v>
      </c>
      <c r="B2065">
        <v>-149.598152</v>
      </c>
      <c r="C2065">
        <v>-17.020430000000001</v>
      </c>
      <c r="D2065">
        <v>147.75359995815799</v>
      </c>
      <c r="E2065">
        <v>30</v>
      </c>
      <c r="F2065">
        <v>9.1</v>
      </c>
    </row>
    <row r="2066" spans="1:6" x14ac:dyDescent="0.2">
      <c r="A2066">
        <v>736787.6287</v>
      </c>
      <c r="B2066">
        <v>-149.598164</v>
      </c>
      <c r="C2066">
        <v>-17.020432</v>
      </c>
      <c r="D2066">
        <v>147.75359995815799</v>
      </c>
      <c r="E2066">
        <v>30</v>
      </c>
      <c r="F2066">
        <v>9.1</v>
      </c>
    </row>
    <row r="2067" spans="1:6" x14ac:dyDescent="0.2">
      <c r="A2067">
        <v>736787.6287</v>
      </c>
      <c r="B2067">
        <v>-149.598186</v>
      </c>
      <c r="C2067">
        <v>-17.020440000000001</v>
      </c>
      <c r="D2067">
        <v>147.75359995815799</v>
      </c>
      <c r="E2067">
        <v>30</v>
      </c>
      <c r="F2067">
        <v>9.1</v>
      </c>
    </row>
    <row r="2068" spans="1:6" x14ac:dyDescent="0.2">
      <c r="A2068">
        <v>736787.6287</v>
      </c>
      <c r="B2068">
        <v>-149.59820199999999</v>
      </c>
      <c r="C2068">
        <v>-17.020439</v>
      </c>
      <c r="D2068">
        <v>147.75359995815799</v>
      </c>
      <c r="E2068">
        <v>30</v>
      </c>
      <c r="F2068">
        <v>9.1</v>
      </c>
    </row>
    <row r="2069" spans="1:6" x14ac:dyDescent="0.2">
      <c r="A2069">
        <v>736787.62879999995</v>
      </c>
      <c r="B2069">
        <v>-149.59822199999999</v>
      </c>
      <c r="C2069">
        <v>-17.020436</v>
      </c>
      <c r="D2069">
        <v>147.82639996137601</v>
      </c>
      <c r="E2069">
        <v>30.0263999613762</v>
      </c>
      <c r="F2069">
        <v>9.1047200077247599</v>
      </c>
    </row>
    <row r="2070" spans="1:6" x14ac:dyDescent="0.2">
      <c r="A2070">
        <v>736787.62879999995</v>
      </c>
      <c r="B2070">
        <v>-149.598241</v>
      </c>
      <c r="C2070">
        <v>-17.020434999999999</v>
      </c>
      <c r="D2070">
        <v>147.82639996137601</v>
      </c>
      <c r="E2070">
        <v>30.0263999613762</v>
      </c>
      <c r="F2070">
        <v>9.1047200077247599</v>
      </c>
    </row>
    <row r="2071" spans="1:6" x14ac:dyDescent="0.2">
      <c r="A2071">
        <v>736787.62879999995</v>
      </c>
      <c r="B2071">
        <v>-149.59826000000001</v>
      </c>
      <c r="C2071">
        <v>-17.020441999999999</v>
      </c>
      <c r="D2071">
        <v>147.82639996137601</v>
      </c>
      <c r="E2071">
        <v>30.0263999613762</v>
      </c>
      <c r="F2071">
        <v>9.1047200077247599</v>
      </c>
    </row>
    <row r="2072" spans="1:6" x14ac:dyDescent="0.2">
      <c r="A2072">
        <v>736787.62879999995</v>
      </c>
      <c r="B2072">
        <v>-149.598276</v>
      </c>
      <c r="C2072">
        <v>-17.020440000000001</v>
      </c>
      <c r="D2072">
        <v>147.82639996137601</v>
      </c>
      <c r="E2072">
        <v>30.0263999613762</v>
      </c>
      <c r="F2072">
        <v>9.1047200077247599</v>
      </c>
    </row>
    <row r="2073" spans="1:6" x14ac:dyDescent="0.2">
      <c r="A2073">
        <v>736787.62879999995</v>
      </c>
      <c r="B2073">
        <v>-149.598296</v>
      </c>
      <c r="C2073">
        <v>-17.020441000000002</v>
      </c>
      <c r="D2073">
        <v>147.82639996137601</v>
      </c>
      <c r="E2073">
        <v>30.0263999613762</v>
      </c>
      <c r="F2073">
        <v>9.1047200077247599</v>
      </c>
    </row>
    <row r="2074" spans="1:6" x14ac:dyDescent="0.2">
      <c r="A2074">
        <v>736787.62879999995</v>
      </c>
      <c r="B2074">
        <v>-149.59831199999999</v>
      </c>
      <c r="C2074">
        <v>-17.020441999999999</v>
      </c>
      <c r="D2074">
        <v>147.82639996137601</v>
      </c>
      <c r="E2074">
        <v>30.0263999613762</v>
      </c>
      <c r="F2074">
        <v>9.1047200077247599</v>
      </c>
    </row>
    <row r="2075" spans="1:6" x14ac:dyDescent="0.2">
      <c r="A2075">
        <v>736787.62890000001</v>
      </c>
      <c r="B2075">
        <v>-149.59832900000001</v>
      </c>
      <c r="C2075">
        <v>-17.020447000000001</v>
      </c>
      <c r="D2075">
        <v>150.776798973251</v>
      </c>
      <c r="E2075">
        <v>30.1</v>
      </c>
      <c r="F2075">
        <v>9.2685599362707496</v>
      </c>
    </row>
    <row r="2076" spans="1:6" x14ac:dyDescent="0.2">
      <c r="A2076">
        <v>736787.62890000001</v>
      </c>
      <c r="B2076">
        <v>-149.598342</v>
      </c>
      <c r="C2076">
        <v>-17.020447000000001</v>
      </c>
      <c r="D2076">
        <v>150.776798973251</v>
      </c>
      <c r="E2076">
        <v>30.1</v>
      </c>
      <c r="F2076">
        <v>9.2685599362707496</v>
      </c>
    </row>
    <row r="2077" spans="1:6" x14ac:dyDescent="0.2">
      <c r="A2077">
        <v>736787.62890000001</v>
      </c>
      <c r="B2077">
        <v>-149.59836200000001</v>
      </c>
      <c r="C2077">
        <v>-17.020451000000001</v>
      </c>
      <c r="D2077">
        <v>150.776798973251</v>
      </c>
      <c r="E2077">
        <v>30.1</v>
      </c>
      <c r="F2077">
        <v>9.2685599362707496</v>
      </c>
    </row>
    <row r="2078" spans="1:6" x14ac:dyDescent="0.2">
      <c r="A2078">
        <v>736787.62890000001</v>
      </c>
      <c r="B2078">
        <v>-149.59837899999999</v>
      </c>
      <c r="C2078">
        <v>-17.020447999999998</v>
      </c>
      <c r="D2078">
        <v>150.776798973251</v>
      </c>
      <c r="E2078">
        <v>30.1</v>
      </c>
      <c r="F2078">
        <v>9.2685599362707496</v>
      </c>
    </row>
    <row r="2079" spans="1:6" x14ac:dyDescent="0.2">
      <c r="A2079">
        <v>736787.62890000001</v>
      </c>
      <c r="B2079">
        <v>-149.598389</v>
      </c>
      <c r="C2079">
        <v>-17.020446</v>
      </c>
      <c r="D2079">
        <v>150.776798973251</v>
      </c>
      <c r="E2079">
        <v>30.1</v>
      </c>
      <c r="F2079">
        <v>9.2685599362707496</v>
      </c>
    </row>
    <row r="2080" spans="1:6" x14ac:dyDescent="0.2">
      <c r="A2080">
        <v>736787.62890000001</v>
      </c>
      <c r="B2080">
        <v>-149.59840299999999</v>
      </c>
      <c r="C2080">
        <v>-17.020441999999999</v>
      </c>
      <c r="D2080">
        <v>150.776798973251</v>
      </c>
      <c r="E2080">
        <v>30.1</v>
      </c>
      <c r="F2080">
        <v>9.2685599362707496</v>
      </c>
    </row>
    <row r="2081" spans="1:6" x14ac:dyDescent="0.2">
      <c r="A2081">
        <v>736787.62890000001</v>
      </c>
      <c r="B2081">
        <v>-149.59841399999999</v>
      </c>
      <c r="C2081">
        <v>-17.020441000000002</v>
      </c>
      <c r="D2081">
        <v>150.776798973251</v>
      </c>
      <c r="E2081">
        <v>30.1</v>
      </c>
      <c r="F2081">
        <v>9.2685599362707496</v>
      </c>
    </row>
    <row r="2082" spans="1:6" x14ac:dyDescent="0.2">
      <c r="A2082">
        <v>736787.62899999996</v>
      </c>
      <c r="B2082">
        <v>-149.59843900000001</v>
      </c>
      <c r="C2082">
        <v>-17.020441000000002</v>
      </c>
      <c r="D2082">
        <v>152.6</v>
      </c>
      <c r="E2082">
        <v>30.2</v>
      </c>
      <c r="F2082">
        <v>9.3699999999999992</v>
      </c>
    </row>
    <row r="2083" spans="1:6" x14ac:dyDescent="0.2">
      <c r="A2083">
        <v>736787.62899999996</v>
      </c>
      <c r="B2083">
        <v>-149.59845300000001</v>
      </c>
      <c r="C2083">
        <v>-17.020446</v>
      </c>
      <c r="D2083">
        <v>152.6</v>
      </c>
      <c r="E2083">
        <v>30.2</v>
      </c>
      <c r="F2083">
        <v>9.3699999999999992</v>
      </c>
    </row>
    <row r="2084" spans="1:6" x14ac:dyDescent="0.2">
      <c r="A2084">
        <v>736787.62899999996</v>
      </c>
      <c r="B2084">
        <v>-149.598465</v>
      </c>
      <c r="C2084">
        <v>-17.020451000000001</v>
      </c>
      <c r="D2084">
        <v>152.6</v>
      </c>
      <c r="E2084">
        <v>30.2</v>
      </c>
      <c r="F2084">
        <v>9.3699999999999992</v>
      </c>
    </row>
    <row r="2085" spans="1:6" x14ac:dyDescent="0.2">
      <c r="A2085">
        <v>736787.62899999996</v>
      </c>
      <c r="B2085">
        <v>-149.59847600000001</v>
      </c>
      <c r="C2085">
        <v>-17.020451999999999</v>
      </c>
      <c r="D2085">
        <v>152.6</v>
      </c>
      <c r="E2085">
        <v>30.2</v>
      </c>
      <c r="F2085">
        <v>9.3699999999999992</v>
      </c>
    </row>
    <row r="2086" spans="1:6" x14ac:dyDescent="0.2">
      <c r="A2086">
        <v>736787.62899999996</v>
      </c>
      <c r="B2086">
        <v>-149.598488</v>
      </c>
      <c r="C2086">
        <v>-17.02045</v>
      </c>
      <c r="D2086">
        <v>152.6</v>
      </c>
      <c r="E2086">
        <v>30.2</v>
      </c>
      <c r="F2086">
        <v>9.3699999999999992</v>
      </c>
    </row>
    <row r="2087" spans="1:6" x14ac:dyDescent="0.2">
      <c r="A2087">
        <v>736787.62899999996</v>
      </c>
      <c r="B2087">
        <v>-149.5985</v>
      </c>
      <c r="C2087">
        <v>-17.020447999999998</v>
      </c>
      <c r="D2087">
        <v>152.6</v>
      </c>
      <c r="E2087">
        <v>30.2</v>
      </c>
      <c r="F2087">
        <v>9.3699999999999992</v>
      </c>
    </row>
    <row r="2088" spans="1:6" x14ac:dyDescent="0.2">
      <c r="A2088">
        <v>736787.62899999996</v>
      </c>
      <c r="B2088">
        <v>-149.598511</v>
      </c>
      <c r="C2088">
        <v>-17.020447999999998</v>
      </c>
      <c r="D2088">
        <v>152.6</v>
      </c>
      <c r="E2088">
        <v>30.2</v>
      </c>
      <c r="F2088">
        <v>9.3699999999999992</v>
      </c>
    </row>
    <row r="2089" spans="1:6" x14ac:dyDescent="0.2">
      <c r="A2089">
        <v>736787.62910000002</v>
      </c>
      <c r="B2089">
        <v>-149.59853000000001</v>
      </c>
      <c r="C2089">
        <v>-17.020443</v>
      </c>
      <c r="D2089">
        <v>153.772799143838</v>
      </c>
      <c r="E2089">
        <v>30.110399877691101</v>
      </c>
      <c r="F2089">
        <v>9.45311996330733</v>
      </c>
    </row>
    <row r="2090" spans="1:6" x14ac:dyDescent="0.2">
      <c r="A2090">
        <v>736787.62910000002</v>
      </c>
      <c r="B2090">
        <v>-149.598536</v>
      </c>
      <c r="C2090">
        <v>-17.020434999999999</v>
      </c>
      <c r="D2090">
        <v>153.772799143838</v>
      </c>
      <c r="E2090">
        <v>30.110399877691101</v>
      </c>
      <c r="F2090">
        <v>9.45311996330733</v>
      </c>
    </row>
    <row r="2091" spans="1:6" x14ac:dyDescent="0.2">
      <c r="A2091">
        <v>736787.62910000002</v>
      </c>
      <c r="B2091">
        <v>-149.59854999999999</v>
      </c>
      <c r="C2091">
        <v>-17.020437999999999</v>
      </c>
      <c r="D2091">
        <v>153.772799143838</v>
      </c>
      <c r="E2091">
        <v>30.110399877691101</v>
      </c>
      <c r="F2091">
        <v>9.45311996330733</v>
      </c>
    </row>
    <row r="2092" spans="1:6" x14ac:dyDescent="0.2">
      <c r="A2092">
        <v>736787.62910000002</v>
      </c>
      <c r="B2092">
        <v>-149.59855999999999</v>
      </c>
      <c r="C2092">
        <v>-17.020436</v>
      </c>
      <c r="D2092">
        <v>153.772799143838</v>
      </c>
      <c r="E2092">
        <v>30.110399877691101</v>
      </c>
      <c r="F2092">
        <v>9.45311996330733</v>
      </c>
    </row>
    <row r="2093" spans="1:6" x14ac:dyDescent="0.2">
      <c r="A2093">
        <v>736787.62910000002</v>
      </c>
      <c r="B2093">
        <v>-149.59857600000001</v>
      </c>
      <c r="C2093">
        <v>-17.020436</v>
      </c>
      <c r="D2093">
        <v>153.772799143838</v>
      </c>
      <c r="E2093">
        <v>30.110399877691101</v>
      </c>
      <c r="F2093">
        <v>9.45311996330733</v>
      </c>
    </row>
    <row r="2094" spans="1:6" x14ac:dyDescent="0.2">
      <c r="A2094">
        <v>736787.62910000002</v>
      </c>
      <c r="B2094">
        <v>-149.59858600000001</v>
      </c>
      <c r="C2094">
        <v>-17.020434999999999</v>
      </c>
      <c r="D2094">
        <v>153.772799143838</v>
      </c>
      <c r="E2094">
        <v>30.110399877691101</v>
      </c>
      <c r="F2094">
        <v>9.45311996330733</v>
      </c>
    </row>
    <row r="2095" spans="1:6" x14ac:dyDescent="0.2">
      <c r="A2095">
        <v>736787.62919999997</v>
      </c>
      <c r="B2095">
        <v>-149.59859399999999</v>
      </c>
      <c r="C2095">
        <v>-17.020434999999999</v>
      </c>
      <c r="D2095">
        <v>152.70080043773601</v>
      </c>
      <c r="E2095">
        <v>29.9</v>
      </c>
      <c r="F2095">
        <v>9.4106400283241101</v>
      </c>
    </row>
    <row r="2096" spans="1:6" x14ac:dyDescent="0.2">
      <c r="A2096">
        <v>736787.62919999997</v>
      </c>
      <c r="B2096">
        <v>-149.598612</v>
      </c>
      <c r="C2096">
        <v>-17.020434999999999</v>
      </c>
      <c r="D2096">
        <v>152.70080043773601</v>
      </c>
      <c r="E2096">
        <v>29.9</v>
      </c>
      <c r="F2096">
        <v>9.4106400283241101</v>
      </c>
    </row>
    <row r="2097" spans="1:6" x14ac:dyDescent="0.2">
      <c r="A2097">
        <v>736787.62919999997</v>
      </c>
      <c r="B2097">
        <v>-149.59862200000001</v>
      </c>
      <c r="C2097">
        <v>-17.020441000000002</v>
      </c>
      <c r="D2097">
        <v>152.70080043773601</v>
      </c>
      <c r="E2097">
        <v>29.9</v>
      </c>
      <c r="F2097">
        <v>9.4106400283241101</v>
      </c>
    </row>
    <row r="2098" spans="1:6" x14ac:dyDescent="0.2">
      <c r="A2098">
        <v>736787.62919999997</v>
      </c>
      <c r="B2098">
        <v>-149.59864099999999</v>
      </c>
      <c r="C2098">
        <v>-17.020440000000001</v>
      </c>
      <c r="D2098">
        <v>152.70080043773601</v>
      </c>
      <c r="E2098">
        <v>29.9</v>
      </c>
      <c r="F2098">
        <v>9.4106400283241101</v>
      </c>
    </row>
    <row r="2099" spans="1:6" x14ac:dyDescent="0.2">
      <c r="A2099">
        <v>736787.62919999997</v>
      </c>
      <c r="B2099">
        <v>-149.59865099999999</v>
      </c>
      <c r="C2099">
        <v>-17.020444000000001</v>
      </c>
      <c r="D2099">
        <v>152.70080043773601</v>
      </c>
      <c r="E2099">
        <v>29.9</v>
      </c>
      <c r="F2099">
        <v>9.4106400283241101</v>
      </c>
    </row>
    <row r="2100" spans="1:6" x14ac:dyDescent="0.2">
      <c r="A2100">
        <v>736787.62919999997</v>
      </c>
      <c r="B2100">
        <v>-149.59866299999999</v>
      </c>
      <c r="C2100">
        <v>-17.020443</v>
      </c>
      <c r="D2100">
        <v>152.70080043773601</v>
      </c>
      <c r="E2100">
        <v>29.9</v>
      </c>
      <c r="F2100">
        <v>9.4106400283241101</v>
      </c>
    </row>
    <row r="2101" spans="1:6" x14ac:dyDescent="0.2">
      <c r="A2101">
        <v>736787.62930000003</v>
      </c>
      <c r="B2101">
        <v>-149.59867700000001</v>
      </c>
      <c r="C2101">
        <v>-17.020444000000001</v>
      </c>
      <c r="D2101">
        <v>150.21520027036601</v>
      </c>
      <c r="E2101">
        <v>29.9</v>
      </c>
      <c r="F2101">
        <v>9.2567200157713803</v>
      </c>
    </row>
    <row r="2102" spans="1:6" x14ac:dyDescent="0.2">
      <c r="A2102">
        <v>736787.62930000003</v>
      </c>
      <c r="B2102">
        <v>-149.59868800000001</v>
      </c>
      <c r="C2102">
        <v>-17.02045</v>
      </c>
      <c r="D2102">
        <v>150.21520027036601</v>
      </c>
      <c r="E2102">
        <v>29.9</v>
      </c>
      <c r="F2102">
        <v>9.2567200157713803</v>
      </c>
    </row>
    <row r="2103" spans="1:6" x14ac:dyDescent="0.2">
      <c r="A2103">
        <v>736787.62930000003</v>
      </c>
      <c r="B2103">
        <v>-149.59869900000001</v>
      </c>
      <c r="C2103">
        <v>-17.020457</v>
      </c>
      <c r="D2103">
        <v>150.21520027036601</v>
      </c>
      <c r="E2103">
        <v>29.9</v>
      </c>
      <c r="F2103">
        <v>9.2567200157713803</v>
      </c>
    </row>
    <row r="2104" spans="1:6" x14ac:dyDescent="0.2">
      <c r="A2104">
        <v>736787.62930000003</v>
      </c>
      <c r="B2104">
        <v>-149.59871200000001</v>
      </c>
      <c r="C2104">
        <v>-17.020455999999999</v>
      </c>
      <c r="D2104">
        <v>150.21520027036601</v>
      </c>
      <c r="E2104">
        <v>29.9</v>
      </c>
      <c r="F2104">
        <v>9.2567200157713803</v>
      </c>
    </row>
    <row r="2105" spans="1:6" x14ac:dyDescent="0.2">
      <c r="A2105">
        <v>736787.62930000003</v>
      </c>
      <c r="B2105">
        <v>-149.598724</v>
      </c>
      <c r="C2105">
        <v>-17.020458999999999</v>
      </c>
      <c r="D2105">
        <v>150.21520027036601</v>
      </c>
      <c r="E2105">
        <v>29.9</v>
      </c>
      <c r="F2105">
        <v>9.2567200157713803</v>
      </c>
    </row>
    <row r="2106" spans="1:6" x14ac:dyDescent="0.2">
      <c r="A2106">
        <v>736787.62930000003</v>
      </c>
      <c r="B2106">
        <v>-149.59873300000001</v>
      </c>
      <c r="C2106">
        <v>-17.020465000000002</v>
      </c>
      <c r="D2106">
        <v>150.21520027036601</v>
      </c>
      <c r="E2106">
        <v>29.9</v>
      </c>
      <c r="F2106">
        <v>9.2567200157713803</v>
      </c>
    </row>
    <row r="2107" spans="1:6" x14ac:dyDescent="0.2">
      <c r="A2107">
        <v>736787.62930000003</v>
      </c>
      <c r="B2107">
        <v>-149.59874500000001</v>
      </c>
      <c r="C2107">
        <v>-17.020465999999999</v>
      </c>
      <c r="D2107">
        <v>150.21520027036601</v>
      </c>
      <c r="E2107">
        <v>29.9</v>
      </c>
      <c r="F2107">
        <v>9.2567200157713803</v>
      </c>
    </row>
    <row r="2108" spans="1:6" x14ac:dyDescent="0.2">
      <c r="A2108">
        <v>736787.62930000003</v>
      </c>
      <c r="B2108">
        <v>-149.598759</v>
      </c>
      <c r="C2108">
        <v>-17.020465000000002</v>
      </c>
      <c r="D2108">
        <v>150.21520027036601</v>
      </c>
      <c r="E2108">
        <v>29.9</v>
      </c>
      <c r="F2108">
        <v>9.2567200157713803</v>
      </c>
    </row>
    <row r="2109" spans="1:6" x14ac:dyDescent="0.2">
      <c r="A2109">
        <v>736787.62939999998</v>
      </c>
      <c r="B2109">
        <v>-149.598769</v>
      </c>
      <c r="C2109">
        <v>-17.020468999999999</v>
      </c>
      <c r="D2109">
        <v>149.341600231743</v>
      </c>
      <c r="E2109">
        <v>29.9</v>
      </c>
      <c r="F2109">
        <v>9.2057600135183293</v>
      </c>
    </row>
    <row r="2110" spans="1:6" x14ac:dyDescent="0.2">
      <c r="A2110">
        <v>736787.62939999998</v>
      </c>
      <c r="B2110">
        <v>-149.59877900000001</v>
      </c>
      <c r="C2110">
        <v>-17.020472999999999</v>
      </c>
      <c r="D2110">
        <v>149.341600231743</v>
      </c>
      <c r="E2110">
        <v>29.9</v>
      </c>
      <c r="F2110">
        <v>9.2057600135183293</v>
      </c>
    </row>
    <row r="2111" spans="1:6" x14ac:dyDescent="0.2">
      <c r="A2111">
        <v>736787.62939999998</v>
      </c>
      <c r="B2111">
        <v>-149.598793</v>
      </c>
      <c r="C2111">
        <v>-17.020471000000001</v>
      </c>
      <c r="D2111">
        <v>149.341600231743</v>
      </c>
      <c r="E2111">
        <v>29.9</v>
      </c>
      <c r="F2111">
        <v>9.2057600135183293</v>
      </c>
    </row>
    <row r="2112" spans="1:6" x14ac:dyDescent="0.2">
      <c r="A2112">
        <v>736787.62939999998</v>
      </c>
      <c r="B2112">
        <v>-149.59880699999999</v>
      </c>
      <c r="C2112">
        <v>-17.020472999999999</v>
      </c>
      <c r="D2112">
        <v>149.341600231743</v>
      </c>
      <c r="E2112">
        <v>29.9</v>
      </c>
      <c r="F2112">
        <v>9.2057600135183293</v>
      </c>
    </row>
    <row r="2113" spans="1:6" x14ac:dyDescent="0.2">
      <c r="A2113">
        <v>736787.62939999998</v>
      </c>
      <c r="B2113">
        <v>-149.598815</v>
      </c>
      <c r="C2113">
        <v>-17.020478000000001</v>
      </c>
      <c r="D2113">
        <v>149.341600231743</v>
      </c>
      <c r="E2113">
        <v>29.9</v>
      </c>
      <c r="F2113">
        <v>9.2057600135183293</v>
      </c>
    </row>
    <row r="2114" spans="1:6" x14ac:dyDescent="0.2">
      <c r="A2114">
        <v>736787.62939999998</v>
      </c>
      <c r="B2114">
        <v>-149.59883099999999</v>
      </c>
      <c r="C2114">
        <v>-17.020486999999999</v>
      </c>
      <c r="D2114">
        <v>149.341600231743</v>
      </c>
      <c r="E2114">
        <v>29.9</v>
      </c>
      <c r="F2114">
        <v>9.2057600135183293</v>
      </c>
    </row>
    <row r="2115" spans="1:6" x14ac:dyDescent="0.2">
      <c r="A2115">
        <v>736787.62939999998</v>
      </c>
      <c r="B2115">
        <v>-149.59884</v>
      </c>
      <c r="C2115">
        <v>-17.020491</v>
      </c>
      <c r="D2115">
        <v>149.341600231743</v>
      </c>
      <c r="E2115">
        <v>29.9</v>
      </c>
      <c r="F2115">
        <v>9.2057600135183293</v>
      </c>
    </row>
    <row r="2116" spans="1:6" x14ac:dyDescent="0.2">
      <c r="A2116">
        <v>736787.62939999998</v>
      </c>
      <c r="B2116">
        <v>-149.59885</v>
      </c>
      <c r="C2116">
        <v>-17.020492999999998</v>
      </c>
      <c r="D2116">
        <v>149.341600231743</v>
      </c>
      <c r="E2116">
        <v>29.9</v>
      </c>
      <c r="F2116">
        <v>9.2057600135183293</v>
      </c>
    </row>
    <row r="2117" spans="1:6" x14ac:dyDescent="0.2">
      <c r="A2117">
        <v>736787.62950000004</v>
      </c>
      <c r="B2117">
        <v>-149.59886299999999</v>
      </c>
      <c r="C2117">
        <v>-17.020495</v>
      </c>
      <c r="D2117">
        <v>148.16799932408199</v>
      </c>
      <c r="E2117">
        <v>29.9</v>
      </c>
      <c r="F2117">
        <v>9.1347999605714705</v>
      </c>
    </row>
    <row r="2118" spans="1:6" x14ac:dyDescent="0.2">
      <c r="A2118">
        <v>736787.62950000004</v>
      </c>
      <c r="B2118">
        <v>-149.598872</v>
      </c>
      <c r="C2118">
        <v>-17.020499999999998</v>
      </c>
      <c r="D2118">
        <v>148.16799932408199</v>
      </c>
      <c r="E2118">
        <v>29.9</v>
      </c>
      <c r="F2118">
        <v>9.1347999605714705</v>
      </c>
    </row>
    <row r="2119" spans="1:6" x14ac:dyDescent="0.2">
      <c r="A2119">
        <v>736787.62950000004</v>
      </c>
      <c r="B2119">
        <v>-149.59888100000001</v>
      </c>
      <c r="C2119">
        <v>-17.020503000000001</v>
      </c>
      <c r="D2119">
        <v>148.16799932408199</v>
      </c>
      <c r="E2119">
        <v>29.9</v>
      </c>
      <c r="F2119">
        <v>9.1347999605714705</v>
      </c>
    </row>
    <row r="2120" spans="1:6" x14ac:dyDescent="0.2">
      <c r="A2120">
        <v>736787.62950000004</v>
      </c>
      <c r="B2120">
        <v>-149.598894</v>
      </c>
      <c r="C2120">
        <v>-17.020503999999999</v>
      </c>
      <c r="D2120">
        <v>148.16799932408199</v>
      </c>
      <c r="E2120">
        <v>29.9</v>
      </c>
      <c r="F2120">
        <v>9.1347999605714705</v>
      </c>
    </row>
    <row r="2121" spans="1:6" x14ac:dyDescent="0.2">
      <c r="A2121">
        <v>736787.62950000004</v>
      </c>
      <c r="B2121">
        <v>-149.598905</v>
      </c>
      <c r="C2121">
        <v>-17.020503999999999</v>
      </c>
      <c r="D2121">
        <v>148.16799932408199</v>
      </c>
      <c r="E2121">
        <v>29.9</v>
      </c>
      <c r="F2121">
        <v>9.1347999605714705</v>
      </c>
    </row>
    <row r="2122" spans="1:6" x14ac:dyDescent="0.2">
      <c r="A2122">
        <v>736787.62950000004</v>
      </c>
      <c r="B2122">
        <v>-149.59892199999999</v>
      </c>
      <c r="C2122">
        <v>-17.020499000000001</v>
      </c>
      <c r="D2122">
        <v>148.16799932408199</v>
      </c>
      <c r="E2122">
        <v>29.9</v>
      </c>
      <c r="F2122">
        <v>9.1347999605714705</v>
      </c>
    </row>
    <row r="2123" spans="1:6" x14ac:dyDescent="0.2">
      <c r="A2123">
        <v>736787.62950000004</v>
      </c>
      <c r="B2123">
        <v>-149.59893700000001</v>
      </c>
      <c r="C2123">
        <v>-17.020493999999999</v>
      </c>
      <c r="D2123">
        <v>148.16799932408199</v>
      </c>
      <c r="E2123">
        <v>29.9</v>
      </c>
      <c r="F2123">
        <v>9.1347999605714705</v>
      </c>
    </row>
    <row r="2124" spans="1:6" x14ac:dyDescent="0.2">
      <c r="A2124">
        <v>736787.62950000004</v>
      </c>
      <c r="B2124">
        <v>-149.59894700000001</v>
      </c>
      <c r="C2124">
        <v>-17.020489999999999</v>
      </c>
      <c r="D2124">
        <v>148.16799932408199</v>
      </c>
      <c r="E2124">
        <v>29.9</v>
      </c>
      <c r="F2124">
        <v>9.1347999605714705</v>
      </c>
    </row>
    <row r="2125" spans="1:6" x14ac:dyDescent="0.2">
      <c r="A2125">
        <v>736787.62959999999</v>
      </c>
      <c r="B2125">
        <v>-149.59895700000001</v>
      </c>
      <c r="C2125">
        <v>-17.020486999999999</v>
      </c>
      <c r="D2125">
        <v>147.28560016737001</v>
      </c>
      <c r="E2125">
        <v>29.9</v>
      </c>
      <c r="F2125">
        <v>9.0829600102996793</v>
      </c>
    </row>
    <row r="2126" spans="1:6" x14ac:dyDescent="0.2">
      <c r="A2126">
        <v>736787.62959999999</v>
      </c>
      <c r="B2126">
        <v>-149.59897100000001</v>
      </c>
      <c r="C2126">
        <v>-17.020479999999999</v>
      </c>
      <c r="D2126">
        <v>147.28560016737001</v>
      </c>
      <c r="E2126">
        <v>29.9</v>
      </c>
      <c r="F2126">
        <v>9.0829600102996793</v>
      </c>
    </row>
    <row r="2127" spans="1:6" x14ac:dyDescent="0.2">
      <c r="A2127">
        <v>736787.62959999999</v>
      </c>
      <c r="B2127">
        <v>-149.59898699999999</v>
      </c>
      <c r="C2127">
        <v>-17.020481</v>
      </c>
      <c r="D2127">
        <v>147.28560016737001</v>
      </c>
      <c r="E2127">
        <v>29.9</v>
      </c>
      <c r="F2127">
        <v>9.0829600102996793</v>
      </c>
    </row>
    <row r="2128" spans="1:6" x14ac:dyDescent="0.2">
      <c r="A2128">
        <v>736787.62959999999</v>
      </c>
      <c r="B2128">
        <v>-149.599006</v>
      </c>
      <c r="C2128">
        <v>-17.020479999999999</v>
      </c>
      <c r="D2128">
        <v>147.28560016737001</v>
      </c>
      <c r="E2128">
        <v>29.9</v>
      </c>
      <c r="F2128">
        <v>9.0829600102996793</v>
      </c>
    </row>
    <row r="2129" spans="1:6" x14ac:dyDescent="0.2">
      <c r="A2129">
        <v>736787.62970000005</v>
      </c>
      <c r="B2129">
        <v>-149.599019</v>
      </c>
      <c r="C2129">
        <v>-17.020482000000001</v>
      </c>
      <c r="D2129">
        <v>144.95759783706399</v>
      </c>
      <c r="E2129">
        <v>29.818399845504501</v>
      </c>
      <c r="F2129">
        <v>8.9447198764036404</v>
      </c>
    </row>
    <row r="2130" spans="1:6" x14ac:dyDescent="0.2">
      <c r="A2130">
        <v>736787.62970000005</v>
      </c>
      <c r="B2130">
        <v>-149.59902700000001</v>
      </c>
      <c r="C2130">
        <v>-17.020488</v>
      </c>
      <c r="D2130">
        <v>144.95759783706399</v>
      </c>
      <c r="E2130">
        <v>29.818399845504501</v>
      </c>
      <c r="F2130">
        <v>8.9447198764036404</v>
      </c>
    </row>
    <row r="2131" spans="1:6" x14ac:dyDescent="0.2">
      <c r="A2131">
        <v>736787.62970000005</v>
      </c>
      <c r="B2131">
        <v>-149.59903600000001</v>
      </c>
      <c r="C2131">
        <v>-17.020492000000001</v>
      </c>
      <c r="D2131">
        <v>144.95759783706399</v>
      </c>
      <c r="E2131">
        <v>29.818399845504501</v>
      </c>
      <c r="F2131">
        <v>8.9447198764036404</v>
      </c>
    </row>
    <row r="2132" spans="1:6" x14ac:dyDescent="0.2">
      <c r="A2132">
        <v>736787.62970000005</v>
      </c>
      <c r="B2132">
        <v>-149.59904800000001</v>
      </c>
      <c r="C2132">
        <v>-17.020493999999999</v>
      </c>
      <c r="D2132">
        <v>144.95759783706399</v>
      </c>
      <c r="E2132">
        <v>29.818399845504501</v>
      </c>
      <c r="F2132">
        <v>8.9447198764036404</v>
      </c>
    </row>
    <row r="2133" spans="1:6" x14ac:dyDescent="0.2">
      <c r="A2133">
        <v>736787.62970000005</v>
      </c>
      <c r="B2133">
        <v>-149.59906000000001</v>
      </c>
      <c r="C2133">
        <v>-17.020496000000001</v>
      </c>
      <c r="D2133">
        <v>144.95759783706399</v>
      </c>
      <c r="E2133">
        <v>29.818399845504501</v>
      </c>
      <c r="F2133">
        <v>8.9447198764036404</v>
      </c>
    </row>
    <row r="2134" spans="1:6" x14ac:dyDescent="0.2">
      <c r="A2134">
        <v>736787.62970000005</v>
      </c>
      <c r="B2134">
        <v>-149.59907999999999</v>
      </c>
      <c r="C2134">
        <v>-17.020496000000001</v>
      </c>
      <c r="D2134">
        <v>144.95759783706399</v>
      </c>
      <c r="E2134">
        <v>29.818399845504501</v>
      </c>
      <c r="F2134">
        <v>8.9447198764036404</v>
      </c>
    </row>
    <row r="2135" spans="1:6" x14ac:dyDescent="0.2">
      <c r="A2135">
        <v>736787.6298</v>
      </c>
      <c r="B2135">
        <v>-149.599098</v>
      </c>
      <c r="C2135">
        <v>-17.020503999999999</v>
      </c>
      <c r="D2135">
        <v>143.775200109434</v>
      </c>
      <c r="E2135">
        <v>29.8</v>
      </c>
      <c r="F2135">
        <v>8.8756000064373008</v>
      </c>
    </row>
    <row r="2136" spans="1:6" x14ac:dyDescent="0.2">
      <c r="A2136">
        <v>736787.6298</v>
      </c>
      <c r="B2136">
        <v>-149.599108</v>
      </c>
      <c r="C2136">
        <v>-17.020503000000001</v>
      </c>
      <c r="D2136">
        <v>143.775200109434</v>
      </c>
      <c r="E2136">
        <v>29.8</v>
      </c>
      <c r="F2136">
        <v>8.8756000064373008</v>
      </c>
    </row>
    <row r="2137" spans="1:6" x14ac:dyDescent="0.2">
      <c r="A2137">
        <v>736787.6298</v>
      </c>
      <c r="B2137">
        <v>-149.599118</v>
      </c>
      <c r="C2137">
        <v>-17.020503000000001</v>
      </c>
      <c r="D2137">
        <v>143.775200109434</v>
      </c>
      <c r="E2137">
        <v>29.8</v>
      </c>
      <c r="F2137">
        <v>8.8756000064373008</v>
      </c>
    </row>
    <row r="2138" spans="1:6" x14ac:dyDescent="0.2">
      <c r="A2138">
        <v>736787.6298</v>
      </c>
      <c r="B2138">
        <v>-149.59912700000001</v>
      </c>
      <c r="C2138">
        <v>-17.020510999999999</v>
      </c>
      <c r="D2138">
        <v>143.775200109434</v>
      </c>
      <c r="E2138">
        <v>29.8</v>
      </c>
      <c r="F2138">
        <v>8.8756000064373008</v>
      </c>
    </row>
    <row r="2139" spans="1:6" x14ac:dyDescent="0.2">
      <c r="A2139">
        <v>736787.6298</v>
      </c>
      <c r="B2139">
        <v>-149.599141</v>
      </c>
      <c r="C2139">
        <v>-17.020513000000001</v>
      </c>
      <c r="D2139">
        <v>143.775200109434</v>
      </c>
      <c r="E2139">
        <v>29.8</v>
      </c>
      <c r="F2139">
        <v>8.8756000064373008</v>
      </c>
    </row>
    <row r="2140" spans="1:6" x14ac:dyDescent="0.2">
      <c r="A2140">
        <v>736787.6298</v>
      </c>
      <c r="B2140">
        <v>-149.599152</v>
      </c>
      <c r="C2140">
        <v>-17.020519</v>
      </c>
      <c r="D2140">
        <v>143.775200109434</v>
      </c>
      <c r="E2140">
        <v>29.8</v>
      </c>
      <c r="F2140">
        <v>8.8756000064373008</v>
      </c>
    </row>
    <row r="2141" spans="1:6" x14ac:dyDescent="0.2">
      <c r="A2141">
        <v>736787.6298</v>
      </c>
      <c r="B2141">
        <v>-149.599166</v>
      </c>
      <c r="C2141">
        <v>-17.020526</v>
      </c>
      <c r="D2141">
        <v>143.775200109434</v>
      </c>
      <c r="E2141">
        <v>29.8</v>
      </c>
      <c r="F2141">
        <v>8.8756000064373008</v>
      </c>
    </row>
    <row r="2142" spans="1:6" x14ac:dyDescent="0.2">
      <c r="A2142">
        <v>736787.62990000006</v>
      </c>
      <c r="B2142">
        <v>-149.59918500000001</v>
      </c>
      <c r="C2142">
        <v>-17.020531999999999</v>
      </c>
      <c r="D2142">
        <v>142.4</v>
      </c>
      <c r="E2142">
        <v>29.8</v>
      </c>
      <c r="F2142">
        <v>8.8000000000000007</v>
      </c>
    </row>
    <row r="2143" spans="1:6" x14ac:dyDescent="0.2">
      <c r="A2143">
        <v>736787.62990000006</v>
      </c>
      <c r="B2143">
        <v>-149.599197</v>
      </c>
      <c r="C2143">
        <v>-17.020533</v>
      </c>
      <c r="D2143">
        <v>142.4</v>
      </c>
      <c r="E2143">
        <v>29.8</v>
      </c>
      <c r="F2143">
        <v>8.8000000000000007</v>
      </c>
    </row>
    <row r="2144" spans="1:6" x14ac:dyDescent="0.2">
      <c r="A2144">
        <v>736787.62990000006</v>
      </c>
      <c r="B2144">
        <v>-149.59920700000001</v>
      </c>
      <c r="C2144">
        <v>-17.020529</v>
      </c>
      <c r="D2144">
        <v>142.4</v>
      </c>
      <c r="E2144">
        <v>29.8</v>
      </c>
      <c r="F2144">
        <v>8.8000000000000007</v>
      </c>
    </row>
    <row r="2145" spans="1:6" x14ac:dyDescent="0.2">
      <c r="A2145">
        <v>736787.62990000006</v>
      </c>
      <c r="B2145">
        <v>-149.59922299999999</v>
      </c>
      <c r="C2145">
        <v>-17.020529</v>
      </c>
      <c r="D2145">
        <v>142.4</v>
      </c>
      <c r="E2145">
        <v>29.8</v>
      </c>
      <c r="F2145">
        <v>8.8000000000000007</v>
      </c>
    </row>
    <row r="2146" spans="1:6" x14ac:dyDescent="0.2">
      <c r="A2146">
        <v>736787.63</v>
      </c>
      <c r="B2146">
        <v>-149.59924599999999</v>
      </c>
      <c r="C2146">
        <v>-17.020526</v>
      </c>
      <c r="D2146">
        <v>141.5</v>
      </c>
      <c r="E2146">
        <v>29.8</v>
      </c>
      <c r="F2146">
        <v>8.74</v>
      </c>
    </row>
    <row r="2147" spans="1:6" x14ac:dyDescent="0.2">
      <c r="A2147">
        <v>736787.63</v>
      </c>
      <c r="B2147">
        <v>-149.59926300000001</v>
      </c>
      <c r="C2147">
        <v>-17.020527999999999</v>
      </c>
      <c r="D2147">
        <v>141.5</v>
      </c>
      <c r="E2147">
        <v>29.8</v>
      </c>
      <c r="F2147">
        <v>8.74</v>
      </c>
    </row>
    <row r="2148" spans="1:6" x14ac:dyDescent="0.2">
      <c r="A2148">
        <v>736787.63</v>
      </c>
      <c r="B2148">
        <v>-149.59927300000001</v>
      </c>
      <c r="C2148">
        <v>-17.020537000000001</v>
      </c>
      <c r="D2148">
        <v>141.5</v>
      </c>
      <c r="E2148">
        <v>29.8</v>
      </c>
      <c r="F2148">
        <v>8.74</v>
      </c>
    </row>
    <row r="2149" spans="1:6" x14ac:dyDescent="0.2">
      <c r="A2149">
        <v>736787.63</v>
      </c>
      <c r="B2149">
        <v>-149.59928600000001</v>
      </c>
      <c r="C2149">
        <v>-17.020537000000001</v>
      </c>
      <c r="D2149">
        <v>141.5</v>
      </c>
      <c r="E2149">
        <v>29.8</v>
      </c>
      <c r="F2149">
        <v>8.74</v>
      </c>
    </row>
    <row r="2150" spans="1:6" x14ac:dyDescent="0.2">
      <c r="A2150">
        <v>736787.63009999995</v>
      </c>
      <c r="B2150">
        <v>-149.59929600000001</v>
      </c>
      <c r="C2150">
        <v>-17.020543</v>
      </c>
      <c r="D2150">
        <v>141.1</v>
      </c>
      <c r="E2150">
        <v>29.8</v>
      </c>
      <c r="F2150">
        <v>8.7200000000000006</v>
      </c>
    </row>
    <row r="2151" spans="1:6" x14ac:dyDescent="0.2">
      <c r="A2151">
        <v>736787.63009999995</v>
      </c>
      <c r="B2151">
        <v>-149.59931</v>
      </c>
      <c r="C2151">
        <v>-17.020537999999998</v>
      </c>
      <c r="D2151">
        <v>141.1</v>
      </c>
      <c r="E2151">
        <v>29.8</v>
      </c>
      <c r="F2151">
        <v>8.7200000000000006</v>
      </c>
    </row>
    <row r="2152" spans="1:6" x14ac:dyDescent="0.2">
      <c r="A2152">
        <v>736787.63009999995</v>
      </c>
      <c r="B2152">
        <v>-149.599322</v>
      </c>
      <c r="C2152">
        <v>-17.020543</v>
      </c>
      <c r="D2152">
        <v>141.1</v>
      </c>
      <c r="E2152">
        <v>29.8</v>
      </c>
      <c r="F2152">
        <v>8.7200000000000006</v>
      </c>
    </row>
    <row r="2153" spans="1:6" x14ac:dyDescent="0.2">
      <c r="A2153">
        <v>736787.63020000001</v>
      </c>
      <c r="B2153">
        <v>-149.599335</v>
      </c>
      <c r="C2153">
        <v>-17.020543</v>
      </c>
      <c r="D2153">
        <v>140.417599974251</v>
      </c>
      <c r="E2153">
        <v>29.7543999935627</v>
      </c>
      <c r="F2153">
        <v>8.6808799987125393</v>
      </c>
    </row>
    <row r="2154" spans="1:6" x14ac:dyDescent="0.2">
      <c r="A2154">
        <v>736787.63020000001</v>
      </c>
      <c r="B2154">
        <v>-149.59934999999999</v>
      </c>
      <c r="C2154">
        <v>-17.020546</v>
      </c>
      <c r="D2154">
        <v>140.417599974251</v>
      </c>
      <c r="E2154">
        <v>29.7543999935627</v>
      </c>
      <c r="F2154">
        <v>8.6808799987125393</v>
      </c>
    </row>
    <row r="2155" spans="1:6" x14ac:dyDescent="0.2">
      <c r="A2155">
        <v>736787.63020000001</v>
      </c>
      <c r="B2155">
        <v>-149.599358</v>
      </c>
      <c r="C2155">
        <v>-17.020551999999999</v>
      </c>
      <c r="D2155">
        <v>140.417599974251</v>
      </c>
      <c r="E2155">
        <v>29.7543999935627</v>
      </c>
      <c r="F2155">
        <v>8.6808799987125393</v>
      </c>
    </row>
    <row r="2156" spans="1:6" x14ac:dyDescent="0.2">
      <c r="A2156">
        <v>736787.63020000001</v>
      </c>
      <c r="B2156">
        <v>-149.59937600000001</v>
      </c>
      <c r="C2156">
        <v>-17.020558000000001</v>
      </c>
      <c r="D2156">
        <v>140.417599974251</v>
      </c>
      <c r="E2156">
        <v>29.7543999935627</v>
      </c>
      <c r="F2156">
        <v>8.6808799987125393</v>
      </c>
    </row>
    <row r="2157" spans="1:6" x14ac:dyDescent="0.2">
      <c r="A2157">
        <v>736787.63029999996</v>
      </c>
      <c r="B2157">
        <v>-149.59939199999999</v>
      </c>
      <c r="C2157">
        <v>-17.020565999999999</v>
      </c>
      <c r="D2157">
        <v>139.69999999999999</v>
      </c>
      <c r="E2157">
        <v>29.7</v>
      </c>
      <c r="F2157">
        <v>8.64</v>
      </c>
    </row>
    <row r="2158" spans="1:6" x14ac:dyDescent="0.2">
      <c r="A2158">
        <v>736787.63029999996</v>
      </c>
      <c r="B2158">
        <v>-149.599402</v>
      </c>
      <c r="C2158">
        <v>-17.020568999999998</v>
      </c>
      <c r="D2158">
        <v>139.69999999999999</v>
      </c>
      <c r="E2158">
        <v>29.7</v>
      </c>
      <c r="F2158">
        <v>8.64</v>
      </c>
    </row>
    <row r="2159" spans="1:6" x14ac:dyDescent="0.2">
      <c r="A2159">
        <v>736787.63029999996</v>
      </c>
      <c r="B2159">
        <v>-149.599413</v>
      </c>
      <c r="C2159">
        <v>-17.020578</v>
      </c>
      <c r="D2159">
        <v>139.69999999999999</v>
      </c>
      <c r="E2159">
        <v>29.7</v>
      </c>
      <c r="F2159">
        <v>8.64</v>
      </c>
    </row>
    <row r="2160" spans="1:6" x14ac:dyDescent="0.2">
      <c r="A2160">
        <v>736787.63029999996</v>
      </c>
      <c r="B2160">
        <v>-149.599422</v>
      </c>
      <c r="C2160">
        <v>-17.020586999999999</v>
      </c>
      <c r="D2160">
        <v>139.69999999999999</v>
      </c>
      <c r="E2160">
        <v>29.7</v>
      </c>
      <c r="F2160">
        <v>8.64</v>
      </c>
    </row>
    <row r="2161" spans="1:6" x14ac:dyDescent="0.2">
      <c r="A2161">
        <v>736787.63029999996</v>
      </c>
      <c r="B2161">
        <v>-149.59943100000001</v>
      </c>
      <c r="C2161">
        <v>-17.020592000000001</v>
      </c>
      <c r="D2161">
        <v>139.69999999999999</v>
      </c>
      <c r="E2161">
        <v>29.7</v>
      </c>
      <c r="F2161">
        <v>8.64</v>
      </c>
    </row>
    <row r="2162" spans="1:6" x14ac:dyDescent="0.2">
      <c r="A2162">
        <v>736787.63029999996</v>
      </c>
      <c r="B2162">
        <v>-149.59944200000001</v>
      </c>
      <c r="C2162">
        <v>-17.020595</v>
      </c>
      <c r="D2162">
        <v>139.69999999999999</v>
      </c>
      <c r="E2162">
        <v>29.7</v>
      </c>
      <c r="F2162">
        <v>8.64</v>
      </c>
    </row>
    <row r="2163" spans="1:6" x14ac:dyDescent="0.2">
      <c r="A2163">
        <v>736787.63029999996</v>
      </c>
      <c r="B2163">
        <v>-149.59945200000001</v>
      </c>
      <c r="C2163">
        <v>-17.020596999999999</v>
      </c>
      <c r="D2163">
        <v>139.69999999999999</v>
      </c>
      <c r="E2163">
        <v>29.7</v>
      </c>
      <c r="F2163">
        <v>8.64</v>
      </c>
    </row>
    <row r="2164" spans="1:6" x14ac:dyDescent="0.2">
      <c r="A2164">
        <v>736787.63040000002</v>
      </c>
      <c r="B2164">
        <v>-149.59946500000001</v>
      </c>
      <c r="C2164">
        <v>-17.020605</v>
      </c>
      <c r="D2164">
        <v>139.79120001287501</v>
      </c>
      <c r="E2164">
        <v>29.7</v>
      </c>
      <c r="F2164">
        <v>8.64</v>
      </c>
    </row>
    <row r="2165" spans="1:6" x14ac:dyDescent="0.2">
      <c r="A2165">
        <v>736787.63040000002</v>
      </c>
      <c r="B2165">
        <v>-149.59947399999999</v>
      </c>
      <c r="C2165">
        <v>-17.020610999999999</v>
      </c>
      <c r="D2165">
        <v>139.79120001287501</v>
      </c>
      <c r="E2165">
        <v>29.7</v>
      </c>
      <c r="F2165">
        <v>8.64</v>
      </c>
    </row>
    <row r="2166" spans="1:6" x14ac:dyDescent="0.2">
      <c r="A2166">
        <v>736787.63040000002</v>
      </c>
      <c r="B2166">
        <v>-149.599481</v>
      </c>
      <c r="C2166">
        <v>-17.020623000000001</v>
      </c>
      <c r="D2166">
        <v>139.79120001287501</v>
      </c>
      <c r="E2166">
        <v>29.7</v>
      </c>
      <c r="F2166">
        <v>8.64</v>
      </c>
    </row>
    <row r="2167" spans="1:6" x14ac:dyDescent="0.2">
      <c r="A2167">
        <v>736787.63040000002</v>
      </c>
      <c r="B2167">
        <v>-149.59949499999999</v>
      </c>
      <c r="C2167">
        <v>-17.020631000000002</v>
      </c>
      <c r="D2167">
        <v>139.79120001287501</v>
      </c>
      <c r="E2167">
        <v>29.7</v>
      </c>
      <c r="F2167">
        <v>8.64</v>
      </c>
    </row>
    <row r="2168" spans="1:6" x14ac:dyDescent="0.2">
      <c r="A2168">
        <v>736787.63040000002</v>
      </c>
      <c r="B2168">
        <v>-149.599512</v>
      </c>
      <c r="C2168">
        <v>-17.020634000000001</v>
      </c>
      <c r="D2168">
        <v>139.79120001287501</v>
      </c>
      <c r="E2168">
        <v>29.7</v>
      </c>
      <c r="F2168">
        <v>8.64</v>
      </c>
    </row>
    <row r="2169" spans="1:6" x14ac:dyDescent="0.2">
      <c r="A2169">
        <v>736787.63049999997</v>
      </c>
      <c r="B2169">
        <v>-149.599525</v>
      </c>
      <c r="C2169">
        <v>-17.020641000000001</v>
      </c>
      <c r="D2169">
        <v>139.19999999999999</v>
      </c>
      <c r="E2169">
        <v>29.7</v>
      </c>
      <c r="F2169">
        <v>8.61</v>
      </c>
    </row>
    <row r="2170" spans="1:6" x14ac:dyDescent="0.2">
      <c r="A2170">
        <v>736787.63049999997</v>
      </c>
      <c r="B2170">
        <v>-149.599538</v>
      </c>
      <c r="C2170">
        <v>-17.020638000000002</v>
      </c>
      <c r="D2170">
        <v>139.19999999999999</v>
      </c>
      <c r="E2170">
        <v>29.7</v>
      </c>
      <c r="F2170">
        <v>8.61</v>
      </c>
    </row>
    <row r="2171" spans="1:6" x14ac:dyDescent="0.2">
      <c r="A2171">
        <v>736787.63049999997</v>
      </c>
      <c r="B2171">
        <v>-149.599549</v>
      </c>
      <c r="C2171">
        <v>-17.020633</v>
      </c>
      <c r="D2171">
        <v>139.19999999999999</v>
      </c>
      <c r="E2171">
        <v>29.7</v>
      </c>
      <c r="F2171">
        <v>8.61</v>
      </c>
    </row>
    <row r="2172" spans="1:6" x14ac:dyDescent="0.2">
      <c r="A2172">
        <v>736787.63049999997</v>
      </c>
      <c r="B2172">
        <v>-149.599559</v>
      </c>
      <c r="C2172">
        <v>-17.020631000000002</v>
      </c>
      <c r="D2172">
        <v>139.19999999999999</v>
      </c>
      <c r="E2172">
        <v>29.7</v>
      </c>
      <c r="F2172">
        <v>8.61</v>
      </c>
    </row>
    <row r="2173" spans="1:6" x14ac:dyDescent="0.2">
      <c r="A2173">
        <v>736787.63049999997</v>
      </c>
      <c r="B2173">
        <v>-149.59956700000001</v>
      </c>
      <c r="C2173">
        <v>-17.020634000000001</v>
      </c>
      <c r="D2173">
        <v>139.19999999999999</v>
      </c>
      <c r="E2173">
        <v>29.7</v>
      </c>
      <c r="F2173">
        <v>8.61</v>
      </c>
    </row>
    <row r="2174" spans="1:6" x14ac:dyDescent="0.2">
      <c r="A2174">
        <v>736787.63060000003</v>
      </c>
      <c r="B2174">
        <v>-149.59957800000001</v>
      </c>
      <c r="C2174">
        <v>-17.020630000000001</v>
      </c>
      <c r="D2174">
        <v>138.479199884129</v>
      </c>
      <c r="E2174">
        <v>29.7</v>
      </c>
      <c r="F2174">
        <v>8.5652799922752401</v>
      </c>
    </row>
    <row r="2175" spans="1:6" x14ac:dyDescent="0.2">
      <c r="A2175">
        <v>736787.63060000003</v>
      </c>
      <c r="B2175">
        <v>-149.59958900000001</v>
      </c>
      <c r="C2175">
        <v>-17.020627000000001</v>
      </c>
      <c r="D2175">
        <v>138.479199884129</v>
      </c>
      <c r="E2175">
        <v>29.7</v>
      </c>
      <c r="F2175">
        <v>8.5652799922752401</v>
      </c>
    </row>
    <row r="2176" spans="1:6" x14ac:dyDescent="0.2">
      <c r="A2176">
        <v>736787.63060000003</v>
      </c>
      <c r="B2176">
        <v>-149.59959699999999</v>
      </c>
      <c r="C2176">
        <v>-17.020616</v>
      </c>
      <c r="D2176">
        <v>138.479199884129</v>
      </c>
      <c r="E2176">
        <v>29.7</v>
      </c>
      <c r="F2176">
        <v>8.5652799922752401</v>
      </c>
    </row>
    <row r="2177" spans="1:6" x14ac:dyDescent="0.2">
      <c r="A2177">
        <v>736787.63060000003</v>
      </c>
      <c r="B2177">
        <v>-149.599605</v>
      </c>
      <c r="C2177">
        <v>-17.020605</v>
      </c>
      <c r="D2177">
        <v>138.479199884129</v>
      </c>
      <c r="E2177">
        <v>29.7</v>
      </c>
      <c r="F2177">
        <v>8.5652799922752401</v>
      </c>
    </row>
    <row r="2178" spans="1:6" x14ac:dyDescent="0.2">
      <c r="A2178">
        <v>736787.63069999998</v>
      </c>
      <c r="B2178">
        <v>-149.59961899999999</v>
      </c>
      <c r="C2178">
        <v>-17.020595</v>
      </c>
      <c r="D2178">
        <v>137.92719959445</v>
      </c>
      <c r="E2178">
        <v>29.7</v>
      </c>
      <c r="F2178">
        <v>8.5394399752163999</v>
      </c>
    </row>
    <row r="2179" spans="1:6" x14ac:dyDescent="0.2">
      <c r="A2179">
        <v>736787.63069999998</v>
      </c>
      <c r="B2179">
        <v>-149.59963400000001</v>
      </c>
      <c r="C2179">
        <v>-17.020596999999999</v>
      </c>
      <c r="D2179">
        <v>137.92719959445</v>
      </c>
      <c r="E2179">
        <v>29.7</v>
      </c>
      <c r="F2179">
        <v>8.5394399752163999</v>
      </c>
    </row>
    <row r="2180" spans="1:6" x14ac:dyDescent="0.2">
      <c r="A2180">
        <v>736787.63069999998</v>
      </c>
      <c r="B2180">
        <v>-149.59964500000001</v>
      </c>
      <c r="C2180">
        <v>-17.020600000000002</v>
      </c>
      <c r="D2180">
        <v>137.92719959445</v>
      </c>
      <c r="E2180">
        <v>29.7</v>
      </c>
      <c r="F2180">
        <v>8.5394399752163999</v>
      </c>
    </row>
    <row r="2181" spans="1:6" x14ac:dyDescent="0.2">
      <c r="A2181">
        <v>736787.63069999998</v>
      </c>
      <c r="B2181">
        <v>-149.59965500000001</v>
      </c>
      <c r="C2181">
        <v>-17.020596999999999</v>
      </c>
      <c r="D2181">
        <v>137.92719959445</v>
      </c>
      <c r="E2181">
        <v>29.7</v>
      </c>
      <c r="F2181">
        <v>8.5394399752163999</v>
      </c>
    </row>
    <row r="2182" spans="1:6" x14ac:dyDescent="0.2">
      <c r="A2182">
        <v>736787.63080000004</v>
      </c>
      <c r="B2182">
        <v>-149.59966600000001</v>
      </c>
      <c r="C2182">
        <v>-17.020605</v>
      </c>
      <c r="D2182">
        <v>134.89919956226399</v>
      </c>
      <c r="E2182">
        <v>29.617599974250801</v>
      </c>
      <c r="F2182">
        <v>8.3493599716758897</v>
      </c>
    </row>
    <row r="2183" spans="1:6" x14ac:dyDescent="0.2">
      <c r="A2183">
        <v>736787.63080000004</v>
      </c>
      <c r="B2183">
        <v>-149.59967900000001</v>
      </c>
      <c r="C2183">
        <v>-17.020612</v>
      </c>
      <c r="D2183">
        <v>134.89919956226399</v>
      </c>
      <c r="E2183">
        <v>29.617599974250801</v>
      </c>
      <c r="F2183">
        <v>8.3493599716758897</v>
      </c>
    </row>
    <row r="2184" spans="1:6" x14ac:dyDescent="0.2">
      <c r="A2184">
        <v>736787.63080000004</v>
      </c>
      <c r="B2184">
        <v>-149.59969000000001</v>
      </c>
      <c r="C2184">
        <v>-17.020613999999998</v>
      </c>
      <c r="D2184">
        <v>134.89919956226399</v>
      </c>
      <c r="E2184">
        <v>29.617599974250801</v>
      </c>
      <c r="F2184">
        <v>8.3493599716758897</v>
      </c>
    </row>
    <row r="2185" spans="1:6" x14ac:dyDescent="0.2">
      <c r="A2185">
        <v>736787.63080000004</v>
      </c>
      <c r="B2185">
        <v>-149.59970200000001</v>
      </c>
      <c r="C2185">
        <v>-17.020620000000001</v>
      </c>
      <c r="D2185">
        <v>134.89919956226399</v>
      </c>
      <c r="E2185">
        <v>29.617599974250801</v>
      </c>
      <c r="F2185">
        <v>8.3493599716758897</v>
      </c>
    </row>
    <row r="2186" spans="1:6" x14ac:dyDescent="0.2">
      <c r="A2186">
        <v>736787.63080000004</v>
      </c>
      <c r="B2186">
        <v>-149.59971100000001</v>
      </c>
      <c r="C2186">
        <v>-17.020629</v>
      </c>
      <c r="D2186">
        <v>134.89919956226399</v>
      </c>
      <c r="E2186">
        <v>29.617599974250801</v>
      </c>
      <c r="F2186">
        <v>8.3493599716758897</v>
      </c>
    </row>
    <row r="2187" spans="1:6" x14ac:dyDescent="0.2">
      <c r="A2187">
        <v>736787.63089999999</v>
      </c>
      <c r="B2187">
        <v>-149.59972400000001</v>
      </c>
      <c r="C2187">
        <v>-17.020644000000001</v>
      </c>
      <c r="D2187">
        <v>134.37919988412901</v>
      </c>
      <c r="E2187">
        <v>29.6</v>
      </c>
      <c r="F2187">
        <v>8.3189599942064305</v>
      </c>
    </row>
    <row r="2188" spans="1:6" x14ac:dyDescent="0.2">
      <c r="A2188">
        <v>736787.63089999999</v>
      </c>
      <c r="B2188">
        <v>-149.599728</v>
      </c>
      <c r="C2188">
        <v>-17.020658999999998</v>
      </c>
      <c r="D2188">
        <v>134.37919988412901</v>
      </c>
      <c r="E2188">
        <v>29.6</v>
      </c>
      <c r="F2188">
        <v>8.3189599942064305</v>
      </c>
    </row>
    <row r="2189" spans="1:6" x14ac:dyDescent="0.2">
      <c r="A2189">
        <v>736787.63089999999</v>
      </c>
      <c r="B2189">
        <v>-149.599737</v>
      </c>
      <c r="C2189">
        <v>-17.020668000000001</v>
      </c>
      <c r="D2189">
        <v>134.37919988412901</v>
      </c>
      <c r="E2189">
        <v>29.6</v>
      </c>
      <c r="F2189">
        <v>8.3189599942064305</v>
      </c>
    </row>
    <row r="2190" spans="1:6" x14ac:dyDescent="0.2">
      <c r="A2190">
        <v>736787.63089999999</v>
      </c>
      <c r="B2190">
        <v>-149.59974299999999</v>
      </c>
      <c r="C2190">
        <v>-17.020676000000002</v>
      </c>
      <c r="D2190">
        <v>134.37919988412901</v>
      </c>
      <c r="E2190">
        <v>29.6</v>
      </c>
      <c r="F2190">
        <v>8.3189599942064305</v>
      </c>
    </row>
    <row r="2191" spans="1:6" x14ac:dyDescent="0.2">
      <c r="A2191">
        <v>736787.63089999999</v>
      </c>
      <c r="B2191">
        <v>-149.59975299999999</v>
      </c>
      <c r="C2191">
        <v>-17.020682999999998</v>
      </c>
      <c r="D2191">
        <v>134.37919988412901</v>
      </c>
      <c r="E2191">
        <v>29.6</v>
      </c>
      <c r="F2191">
        <v>8.3189599942064305</v>
      </c>
    </row>
    <row r="2192" spans="1:6" x14ac:dyDescent="0.2">
      <c r="A2192">
        <v>736787.63089999999</v>
      </c>
      <c r="B2192">
        <v>-149.599761</v>
      </c>
      <c r="C2192">
        <v>-17.020693000000001</v>
      </c>
      <c r="D2192">
        <v>134.37919988412901</v>
      </c>
      <c r="E2192">
        <v>29.6</v>
      </c>
      <c r="F2192">
        <v>8.3189599942064305</v>
      </c>
    </row>
    <row r="2193" spans="1:6" x14ac:dyDescent="0.2">
      <c r="A2193">
        <v>736787.63089999999</v>
      </c>
      <c r="B2193">
        <v>-149.59976700000001</v>
      </c>
      <c r="C2193">
        <v>-17.020700999999999</v>
      </c>
      <c r="D2193">
        <v>134.37919988412901</v>
      </c>
      <c r="E2193">
        <v>29.6</v>
      </c>
      <c r="F2193">
        <v>8.3189599942064305</v>
      </c>
    </row>
    <row r="2194" spans="1:6" x14ac:dyDescent="0.2">
      <c r="A2194">
        <v>736787.63100000005</v>
      </c>
      <c r="B2194">
        <v>-149.599782</v>
      </c>
      <c r="C2194">
        <v>-17.020712</v>
      </c>
      <c r="D2194">
        <v>133.403999774695</v>
      </c>
      <c r="E2194">
        <v>29.6</v>
      </c>
      <c r="F2194">
        <v>8.2587999871253999</v>
      </c>
    </row>
    <row r="2195" spans="1:6" x14ac:dyDescent="0.2">
      <c r="A2195">
        <v>736787.63100000005</v>
      </c>
      <c r="B2195">
        <v>-149.59979300000001</v>
      </c>
      <c r="C2195">
        <v>-17.020717000000001</v>
      </c>
      <c r="D2195">
        <v>133.403999774695</v>
      </c>
      <c r="E2195">
        <v>29.6</v>
      </c>
      <c r="F2195">
        <v>8.2587999871253999</v>
      </c>
    </row>
    <row r="2196" spans="1:6" x14ac:dyDescent="0.2">
      <c r="A2196">
        <v>736787.63100000005</v>
      </c>
      <c r="B2196">
        <v>-149.59979999999999</v>
      </c>
      <c r="C2196">
        <v>-17.020724999999999</v>
      </c>
      <c r="D2196">
        <v>133.403999774695</v>
      </c>
      <c r="E2196">
        <v>29.6</v>
      </c>
      <c r="F2196">
        <v>8.2587999871253999</v>
      </c>
    </row>
    <row r="2197" spans="1:6" x14ac:dyDescent="0.2">
      <c r="A2197">
        <v>736787.63100000005</v>
      </c>
      <c r="B2197">
        <v>-149.59981099999999</v>
      </c>
      <c r="C2197">
        <v>-17.020737</v>
      </c>
      <c r="D2197">
        <v>133.403999774695</v>
      </c>
      <c r="E2197">
        <v>29.6</v>
      </c>
      <c r="F2197">
        <v>8.2587999871253999</v>
      </c>
    </row>
    <row r="2198" spans="1:6" x14ac:dyDescent="0.2">
      <c r="A2198">
        <v>736787.63100000005</v>
      </c>
      <c r="B2198">
        <v>-149.59981400000001</v>
      </c>
      <c r="C2198">
        <v>-17.020748000000001</v>
      </c>
      <c r="D2198">
        <v>133.403999774695</v>
      </c>
      <c r="E2198">
        <v>29.6</v>
      </c>
      <c r="F2198">
        <v>8.2587999871253999</v>
      </c>
    </row>
    <row r="2199" spans="1:6" x14ac:dyDescent="0.2">
      <c r="A2199">
        <v>736787.6311</v>
      </c>
      <c r="B2199">
        <v>-149.59982099999999</v>
      </c>
      <c r="C2199">
        <v>-17.020755999999999</v>
      </c>
      <c r="D2199">
        <v>132.89839992918999</v>
      </c>
      <c r="E2199">
        <v>29.6</v>
      </c>
      <c r="F2199">
        <v>8.2299199964594898</v>
      </c>
    </row>
    <row r="2200" spans="1:6" x14ac:dyDescent="0.2">
      <c r="A2200">
        <v>736787.6311</v>
      </c>
      <c r="B2200">
        <v>-149.599827</v>
      </c>
      <c r="C2200">
        <v>-17.020772999999998</v>
      </c>
      <c r="D2200">
        <v>132.89839992918999</v>
      </c>
      <c r="E2200">
        <v>29.6</v>
      </c>
      <c r="F2200">
        <v>8.2299199964594898</v>
      </c>
    </row>
    <row r="2201" spans="1:6" x14ac:dyDescent="0.2">
      <c r="A2201">
        <v>736787.6311</v>
      </c>
      <c r="B2201">
        <v>-149.59983399999999</v>
      </c>
      <c r="C2201">
        <v>-17.020782000000001</v>
      </c>
      <c r="D2201">
        <v>132.89839992918999</v>
      </c>
      <c r="E2201">
        <v>29.6</v>
      </c>
      <c r="F2201">
        <v>8.2299199964594898</v>
      </c>
    </row>
    <row r="2202" spans="1:6" x14ac:dyDescent="0.2">
      <c r="A2202">
        <v>736787.6311</v>
      </c>
      <c r="B2202">
        <v>-149.59984399999999</v>
      </c>
      <c r="C2202">
        <v>-17.020788</v>
      </c>
      <c r="D2202">
        <v>132.89839992918999</v>
      </c>
      <c r="E2202">
        <v>29.6</v>
      </c>
      <c r="F2202">
        <v>8.2299199964594898</v>
      </c>
    </row>
    <row r="2203" spans="1:6" x14ac:dyDescent="0.2">
      <c r="A2203">
        <v>736787.6311</v>
      </c>
      <c r="B2203">
        <v>-149.59985</v>
      </c>
      <c r="C2203">
        <v>-17.020796000000001</v>
      </c>
      <c r="D2203">
        <v>132.89839992918999</v>
      </c>
      <c r="E2203">
        <v>29.6</v>
      </c>
      <c r="F2203">
        <v>8.2299199964594898</v>
      </c>
    </row>
    <row r="2204" spans="1:6" x14ac:dyDescent="0.2">
      <c r="A2204">
        <v>736787.6311</v>
      </c>
      <c r="B2204">
        <v>-149.59985599999999</v>
      </c>
      <c r="C2204">
        <v>-17.020806</v>
      </c>
      <c r="D2204">
        <v>132.89839992918999</v>
      </c>
      <c r="E2204">
        <v>29.6</v>
      </c>
      <c r="F2204">
        <v>8.2299199964594898</v>
      </c>
    </row>
    <row r="2205" spans="1:6" x14ac:dyDescent="0.2">
      <c r="A2205">
        <v>736787.6311</v>
      </c>
      <c r="B2205">
        <v>-149.59986599999999</v>
      </c>
      <c r="C2205">
        <v>-17.020814999999999</v>
      </c>
      <c r="D2205">
        <v>132.89839992918999</v>
      </c>
      <c r="E2205">
        <v>29.6</v>
      </c>
      <c r="F2205">
        <v>8.2299199964594898</v>
      </c>
    </row>
    <row r="2206" spans="1:6" x14ac:dyDescent="0.2">
      <c r="A2206">
        <v>736787.63119999995</v>
      </c>
      <c r="B2206">
        <v>-149.59987599999999</v>
      </c>
      <c r="C2206">
        <v>-17.020824999999999</v>
      </c>
      <c r="D2206">
        <v>132.920799512375</v>
      </c>
      <c r="E2206">
        <v>29.6</v>
      </c>
      <c r="F2206">
        <v>8.2347199674916496</v>
      </c>
    </row>
    <row r="2207" spans="1:6" x14ac:dyDescent="0.2">
      <c r="A2207">
        <v>736787.63119999995</v>
      </c>
      <c r="B2207">
        <v>-149.599887</v>
      </c>
      <c r="C2207">
        <v>-17.020833</v>
      </c>
      <c r="D2207">
        <v>132.920799512375</v>
      </c>
      <c r="E2207">
        <v>29.6</v>
      </c>
      <c r="F2207">
        <v>8.2347199674916496</v>
      </c>
    </row>
    <row r="2208" spans="1:6" x14ac:dyDescent="0.2">
      <c r="A2208">
        <v>736787.63119999995</v>
      </c>
      <c r="B2208">
        <v>-149.59989999999999</v>
      </c>
      <c r="C2208">
        <v>-17.020841000000001</v>
      </c>
      <c r="D2208">
        <v>132.920799512375</v>
      </c>
      <c r="E2208">
        <v>29.6</v>
      </c>
      <c r="F2208">
        <v>8.2347199674916496</v>
      </c>
    </row>
    <row r="2209" spans="1:6" x14ac:dyDescent="0.2">
      <c r="A2209">
        <v>736787.63119999995</v>
      </c>
      <c r="B2209">
        <v>-149.599908</v>
      </c>
      <c r="C2209">
        <v>-17.020849999999999</v>
      </c>
      <c r="D2209">
        <v>132.920799512375</v>
      </c>
      <c r="E2209">
        <v>29.6</v>
      </c>
      <c r="F2209">
        <v>8.2347199674916496</v>
      </c>
    </row>
    <row r="2210" spans="1:6" x14ac:dyDescent="0.2">
      <c r="A2210">
        <v>736787.63119999995</v>
      </c>
      <c r="B2210">
        <v>-149.59992</v>
      </c>
      <c r="C2210">
        <v>-17.020861</v>
      </c>
      <c r="D2210">
        <v>132.920799512375</v>
      </c>
      <c r="E2210">
        <v>29.6</v>
      </c>
      <c r="F2210">
        <v>8.2347199674916496</v>
      </c>
    </row>
    <row r="2211" spans="1:6" x14ac:dyDescent="0.2">
      <c r="A2211">
        <v>736787.63130000001</v>
      </c>
      <c r="B2211">
        <v>-149.599929</v>
      </c>
      <c r="C2211">
        <v>-17.020868</v>
      </c>
      <c r="D2211">
        <v>133.371200334739</v>
      </c>
      <c r="E2211">
        <v>29.6</v>
      </c>
      <c r="F2211">
        <v>8.25320002092122</v>
      </c>
    </row>
    <row r="2212" spans="1:6" x14ac:dyDescent="0.2">
      <c r="A2212">
        <v>736787.63130000001</v>
      </c>
      <c r="B2212">
        <v>-149.59993399999999</v>
      </c>
      <c r="C2212">
        <v>-17.020878</v>
      </c>
      <c r="D2212">
        <v>133.371200334739</v>
      </c>
      <c r="E2212">
        <v>29.6</v>
      </c>
      <c r="F2212">
        <v>8.25320002092122</v>
      </c>
    </row>
    <row r="2213" spans="1:6" x14ac:dyDescent="0.2">
      <c r="A2213">
        <v>736787.63130000001</v>
      </c>
      <c r="B2213">
        <v>-149.59993600000001</v>
      </c>
      <c r="C2213">
        <v>-17.020890999999999</v>
      </c>
      <c r="D2213">
        <v>133.371200334739</v>
      </c>
      <c r="E2213">
        <v>29.6</v>
      </c>
      <c r="F2213">
        <v>8.25320002092122</v>
      </c>
    </row>
    <row r="2214" spans="1:6" x14ac:dyDescent="0.2">
      <c r="A2214">
        <v>736787.63130000001</v>
      </c>
      <c r="B2214">
        <v>-149.59993600000001</v>
      </c>
      <c r="C2214">
        <v>-17.020902</v>
      </c>
      <c r="D2214">
        <v>133.371200334739</v>
      </c>
      <c r="E2214">
        <v>29.6</v>
      </c>
      <c r="F2214">
        <v>8.25320002092122</v>
      </c>
    </row>
    <row r="2215" spans="1:6" x14ac:dyDescent="0.2">
      <c r="A2215">
        <v>736787.63130000001</v>
      </c>
      <c r="B2215">
        <v>-149.59993499999999</v>
      </c>
      <c r="C2215">
        <v>-17.020911999999999</v>
      </c>
      <c r="D2215">
        <v>133.371200334739</v>
      </c>
      <c r="E2215">
        <v>29.6</v>
      </c>
      <c r="F2215">
        <v>8.25320002092122</v>
      </c>
    </row>
    <row r="2216" spans="1:6" x14ac:dyDescent="0.2">
      <c r="A2216">
        <v>736787.63130000001</v>
      </c>
      <c r="B2216">
        <v>-149.59993299999999</v>
      </c>
      <c r="C2216">
        <v>-17.020921999999999</v>
      </c>
      <c r="D2216">
        <v>133.371200334739</v>
      </c>
      <c r="E2216">
        <v>29.6</v>
      </c>
      <c r="F2216">
        <v>8.25320002092122</v>
      </c>
    </row>
    <row r="2217" spans="1:6" x14ac:dyDescent="0.2">
      <c r="A2217">
        <v>736787.63139999995</v>
      </c>
      <c r="B2217">
        <v>-149.59993</v>
      </c>
      <c r="C2217">
        <v>-17.020931999999998</v>
      </c>
      <c r="D2217">
        <v>134.6</v>
      </c>
      <c r="E2217">
        <v>29.7</v>
      </c>
      <c r="F2217">
        <v>8.33</v>
      </c>
    </row>
    <row r="2218" spans="1:6" x14ac:dyDescent="0.2">
      <c r="A2218">
        <v>736787.63139999995</v>
      </c>
      <c r="B2218">
        <v>-149.59992399999999</v>
      </c>
      <c r="C2218">
        <v>-17.020942999999999</v>
      </c>
      <c r="D2218">
        <v>134.6</v>
      </c>
      <c r="E2218">
        <v>29.7</v>
      </c>
      <c r="F2218">
        <v>8.33</v>
      </c>
    </row>
    <row r="2219" spans="1:6" x14ac:dyDescent="0.2">
      <c r="A2219">
        <v>736787.63139999995</v>
      </c>
      <c r="B2219">
        <v>-149.59991400000001</v>
      </c>
      <c r="C2219">
        <v>-17.020956000000002</v>
      </c>
      <c r="D2219">
        <v>134.6</v>
      </c>
      <c r="E2219">
        <v>29.7</v>
      </c>
      <c r="F2219">
        <v>8.33</v>
      </c>
    </row>
    <row r="2220" spans="1:6" x14ac:dyDescent="0.2">
      <c r="A2220">
        <v>736787.63139999995</v>
      </c>
      <c r="B2220">
        <v>-149.599909</v>
      </c>
      <c r="C2220">
        <v>-17.020965</v>
      </c>
      <c r="D2220">
        <v>134.6</v>
      </c>
      <c r="E2220">
        <v>29.7</v>
      </c>
      <c r="F2220">
        <v>8.33</v>
      </c>
    </row>
    <row r="2221" spans="1:6" x14ac:dyDescent="0.2">
      <c r="A2221">
        <v>736787.63139999995</v>
      </c>
      <c r="B2221">
        <v>-149.59990199999999</v>
      </c>
      <c r="C2221">
        <v>-17.020979000000001</v>
      </c>
      <c r="D2221">
        <v>134.6</v>
      </c>
      <c r="E2221">
        <v>29.7</v>
      </c>
      <c r="F2221">
        <v>8.33</v>
      </c>
    </row>
    <row r="2222" spans="1:6" x14ac:dyDescent="0.2">
      <c r="A2222">
        <v>736787.63139999995</v>
      </c>
      <c r="B2222">
        <v>-149.59989300000001</v>
      </c>
      <c r="C2222">
        <v>-17.020987999999999</v>
      </c>
      <c r="D2222">
        <v>134.6</v>
      </c>
      <c r="E2222">
        <v>29.7</v>
      </c>
      <c r="F2222">
        <v>8.33</v>
      </c>
    </row>
    <row r="2223" spans="1:6" x14ac:dyDescent="0.2">
      <c r="A2223">
        <v>736787.63150000002</v>
      </c>
      <c r="B2223">
        <v>-149.59987899999999</v>
      </c>
      <c r="C2223">
        <v>-17.021000000000001</v>
      </c>
      <c r="D2223">
        <v>135.980000724196</v>
      </c>
      <c r="E2223">
        <v>29.7</v>
      </c>
      <c r="F2223">
        <v>8.4128000434517602</v>
      </c>
    </row>
    <row r="2224" spans="1:6" x14ac:dyDescent="0.2">
      <c r="A2224">
        <v>736787.63150000002</v>
      </c>
      <c r="B2224">
        <v>-149.59986799999999</v>
      </c>
      <c r="C2224">
        <v>-17.021008999999999</v>
      </c>
      <c r="D2224">
        <v>135.980000724196</v>
      </c>
      <c r="E2224">
        <v>29.7</v>
      </c>
      <c r="F2224">
        <v>8.4128000434517602</v>
      </c>
    </row>
    <row r="2225" spans="1:6" x14ac:dyDescent="0.2">
      <c r="A2225">
        <v>736787.63150000002</v>
      </c>
      <c r="B2225">
        <v>-149.59985599999999</v>
      </c>
      <c r="C2225">
        <v>-17.021021999999999</v>
      </c>
      <c r="D2225">
        <v>135.980000724196</v>
      </c>
      <c r="E2225">
        <v>29.7</v>
      </c>
      <c r="F2225">
        <v>8.4128000434517602</v>
      </c>
    </row>
    <row r="2226" spans="1:6" x14ac:dyDescent="0.2">
      <c r="A2226">
        <v>736787.63150000002</v>
      </c>
      <c r="B2226">
        <v>-149.59984900000001</v>
      </c>
      <c r="C2226">
        <v>-17.021028999999999</v>
      </c>
      <c r="D2226">
        <v>135.980000724196</v>
      </c>
      <c r="E2226">
        <v>29.7</v>
      </c>
      <c r="F2226">
        <v>8.4128000434517602</v>
      </c>
    </row>
    <row r="2227" spans="1:6" x14ac:dyDescent="0.2">
      <c r="A2227">
        <v>736787.63159999996</v>
      </c>
      <c r="B2227">
        <v>-149.59983700000001</v>
      </c>
      <c r="C2227">
        <v>-17.021039999999999</v>
      </c>
      <c r="D2227">
        <v>136.69999999999999</v>
      </c>
      <c r="E2227">
        <v>29.7</v>
      </c>
      <c r="F2227">
        <v>8.4564799980688097</v>
      </c>
    </row>
    <row r="2228" spans="1:6" x14ac:dyDescent="0.2">
      <c r="A2228">
        <v>736787.63159999996</v>
      </c>
      <c r="B2228">
        <v>-149.59982600000001</v>
      </c>
      <c r="C2228">
        <v>-17.021055</v>
      </c>
      <c r="D2228">
        <v>136.69999999999999</v>
      </c>
      <c r="E2228">
        <v>29.7</v>
      </c>
      <c r="F2228">
        <v>8.4564799980688097</v>
      </c>
    </row>
    <row r="2229" spans="1:6" x14ac:dyDescent="0.2">
      <c r="A2229">
        <v>736787.63159999996</v>
      </c>
      <c r="B2229">
        <v>-149.599819</v>
      </c>
      <c r="C2229">
        <v>-17.021062000000001</v>
      </c>
      <c r="D2229">
        <v>136.69999999999999</v>
      </c>
      <c r="E2229">
        <v>29.7</v>
      </c>
      <c r="F2229">
        <v>8.4564799980688097</v>
      </c>
    </row>
    <row r="2230" spans="1:6" x14ac:dyDescent="0.2">
      <c r="A2230">
        <v>736787.63159999996</v>
      </c>
      <c r="B2230">
        <v>-149.59981099999999</v>
      </c>
      <c r="C2230">
        <v>-17.021068</v>
      </c>
      <c r="D2230">
        <v>136.69999999999999</v>
      </c>
      <c r="E2230">
        <v>29.7</v>
      </c>
      <c r="F2230">
        <v>8.4564799980688097</v>
      </c>
    </row>
    <row r="2231" spans="1:6" x14ac:dyDescent="0.2">
      <c r="A2231">
        <v>736787.63159999996</v>
      </c>
      <c r="B2231">
        <v>-149.599796</v>
      </c>
      <c r="C2231">
        <v>-17.021079</v>
      </c>
      <c r="D2231">
        <v>136.69999999999999</v>
      </c>
      <c r="E2231">
        <v>29.7</v>
      </c>
      <c r="F2231">
        <v>8.4564799980688097</v>
      </c>
    </row>
    <row r="2232" spans="1:6" x14ac:dyDescent="0.2">
      <c r="A2232">
        <v>736787.63159999996</v>
      </c>
      <c r="B2232">
        <v>-149.59978899999999</v>
      </c>
      <c r="C2232">
        <v>-17.021087000000001</v>
      </c>
      <c r="D2232">
        <v>136.69999999999999</v>
      </c>
      <c r="E2232">
        <v>29.7</v>
      </c>
      <c r="F2232">
        <v>8.4564799980688097</v>
      </c>
    </row>
    <row r="2233" spans="1:6" x14ac:dyDescent="0.2">
      <c r="A2233">
        <v>736787.63159999996</v>
      </c>
      <c r="B2233">
        <v>-149.59978100000001</v>
      </c>
      <c r="C2233">
        <v>-17.021093</v>
      </c>
      <c r="D2233">
        <v>136.69999999999999</v>
      </c>
      <c r="E2233">
        <v>29.7</v>
      </c>
      <c r="F2233">
        <v>8.4564799980688097</v>
      </c>
    </row>
    <row r="2234" spans="1:6" x14ac:dyDescent="0.2">
      <c r="A2234">
        <v>736787.63170000003</v>
      </c>
      <c r="B2234">
        <v>-149.59976900000001</v>
      </c>
      <c r="C2234">
        <v>-17.021099</v>
      </c>
      <c r="D2234">
        <v>137.612800164151</v>
      </c>
      <c r="E2234">
        <v>29.7</v>
      </c>
      <c r="F2234">
        <v>8.5075200109434093</v>
      </c>
    </row>
    <row r="2235" spans="1:6" x14ac:dyDescent="0.2">
      <c r="A2235">
        <v>736787.63170000003</v>
      </c>
      <c r="B2235">
        <v>-149.59975499999999</v>
      </c>
      <c r="C2235">
        <v>-17.021106</v>
      </c>
      <c r="D2235">
        <v>137.612800164151</v>
      </c>
      <c r="E2235">
        <v>29.7</v>
      </c>
      <c r="F2235">
        <v>8.5075200109434093</v>
      </c>
    </row>
    <row r="2236" spans="1:6" x14ac:dyDescent="0.2">
      <c r="A2236">
        <v>736787.63170000003</v>
      </c>
      <c r="B2236">
        <v>-149.59974700000001</v>
      </c>
      <c r="C2236">
        <v>-17.021111999999999</v>
      </c>
      <c r="D2236">
        <v>137.612800164151</v>
      </c>
      <c r="E2236">
        <v>29.7</v>
      </c>
      <c r="F2236">
        <v>8.5075200109434093</v>
      </c>
    </row>
    <row r="2237" spans="1:6" x14ac:dyDescent="0.2">
      <c r="A2237">
        <v>736787.63170000003</v>
      </c>
      <c r="B2237">
        <v>-149.59973099999999</v>
      </c>
      <c r="C2237">
        <v>-17.021121999999998</v>
      </c>
      <c r="D2237">
        <v>137.612800164151</v>
      </c>
      <c r="E2237">
        <v>29.7</v>
      </c>
      <c r="F2237">
        <v>8.5075200109434093</v>
      </c>
    </row>
    <row r="2238" spans="1:6" x14ac:dyDescent="0.2">
      <c r="A2238">
        <v>736787.63170000003</v>
      </c>
      <c r="B2238">
        <v>-149.59971999999999</v>
      </c>
      <c r="C2238">
        <v>-17.021131</v>
      </c>
      <c r="D2238">
        <v>137.612800164151</v>
      </c>
      <c r="E2238">
        <v>29.7</v>
      </c>
      <c r="F2238">
        <v>8.5075200109434093</v>
      </c>
    </row>
    <row r="2239" spans="1:6" x14ac:dyDescent="0.2">
      <c r="A2239">
        <v>736787.63170000003</v>
      </c>
      <c r="B2239">
        <v>-149.59970899999999</v>
      </c>
      <c r="C2239">
        <v>-17.021139999999999</v>
      </c>
      <c r="D2239">
        <v>137.612800164151</v>
      </c>
      <c r="E2239">
        <v>29.7</v>
      </c>
      <c r="F2239">
        <v>8.5075200109434093</v>
      </c>
    </row>
    <row r="2240" spans="1:6" x14ac:dyDescent="0.2">
      <c r="A2240">
        <v>736787.63179999997</v>
      </c>
      <c r="B2240">
        <v>-149.59969699999999</v>
      </c>
      <c r="C2240">
        <v>-17.021145000000001</v>
      </c>
      <c r="D2240">
        <v>137.91039996781299</v>
      </c>
      <c r="E2240">
        <v>29.7</v>
      </c>
      <c r="F2240">
        <v>8.5310399967813506</v>
      </c>
    </row>
    <row r="2241" spans="1:6" x14ac:dyDescent="0.2">
      <c r="A2241">
        <v>736787.63179999997</v>
      </c>
      <c r="B2241">
        <v>-149.59968599999999</v>
      </c>
      <c r="C2241">
        <v>-17.021149999999999</v>
      </c>
      <c r="D2241">
        <v>137.91039996781299</v>
      </c>
      <c r="E2241">
        <v>29.7</v>
      </c>
      <c r="F2241">
        <v>8.5310399967813506</v>
      </c>
    </row>
    <row r="2242" spans="1:6" x14ac:dyDescent="0.2">
      <c r="A2242">
        <v>736787.63179999997</v>
      </c>
      <c r="B2242">
        <v>-149.59967399999999</v>
      </c>
      <c r="C2242">
        <v>-17.021148</v>
      </c>
      <c r="D2242">
        <v>137.91039996781299</v>
      </c>
      <c r="E2242">
        <v>29.7</v>
      </c>
      <c r="F2242">
        <v>8.5310399967813506</v>
      </c>
    </row>
    <row r="2243" spans="1:6" x14ac:dyDescent="0.2">
      <c r="A2243">
        <v>736787.63179999997</v>
      </c>
      <c r="B2243">
        <v>-149.59966399999999</v>
      </c>
      <c r="C2243">
        <v>-17.021146000000002</v>
      </c>
      <c r="D2243">
        <v>137.91039996781299</v>
      </c>
      <c r="E2243">
        <v>29.7</v>
      </c>
      <c r="F2243">
        <v>8.5310399967813506</v>
      </c>
    </row>
    <row r="2244" spans="1:6" x14ac:dyDescent="0.2">
      <c r="A2244">
        <v>736787.63190000004</v>
      </c>
      <c r="B2244">
        <v>-149.59965399999999</v>
      </c>
      <c r="C2244">
        <v>-17.021142999999999</v>
      </c>
      <c r="D2244">
        <v>137.916799938846</v>
      </c>
      <c r="E2244">
        <v>29.7</v>
      </c>
      <c r="F2244">
        <v>8.5316799938845698</v>
      </c>
    </row>
    <row r="2245" spans="1:6" x14ac:dyDescent="0.2">
      <c r="A2245">
        <v>736787.63190000004</v>
      </c>
      <c r="B2245">
        <v>-149.59964500000001</v>
      </c>
      <c r="C2245">
        <v>-17.021135999999998</v>
      </c>
      <c r="D2245">
        <v>137.916799938846</v>
      </c>
      <c r="E2245">
        <v>29.7</v>
      </c>
      <c r="F2245">
        <v>8.5316799938845698</v>
      </c>
    </row>
    <row r="2246" spans="1:6" x14ac:dyDescent="0.2">
      <c r="A2246">
        <v>736787.63190000004</v>
      </c>
      <c r="B2246">
        <v>-149.59963300000001</v>
      </c>
      <c r="C2246">
        <v>-17.021127</v>
      </c>
      <c r="D2246">
        <v>137.916799938846</v>
      </c>
      <c r="E2246">
        <v>29.7</v>
      </c>
      <c r="F2246">
        <v>8.5316799938845698</v>
      </c>
    </row>
    <row r="2247" spans="1:6" x14ac:dyDescent="0.2">
      <c r="A2247">
        <v>736787.63199999998</v>
      </c>
      <c r="B2247">
        <v>-149.599615</v>
      </c>
      <c r="C2247">
        <v>-17.021125000000001</v>
      </c>
      <c r="D2247">
        <v>138.30000000000001</v>
      </c>
      <c r="E2247">
        <v>29.7</v>
      </c>
      <c r="F2247">
        <v>8.5500000000000007</v>
      </c>
    </row>
    <row r="2248" spans="1:6" x14ac:dyDescent="0.2">
      <c r="A2248">
        <v>736787.63199999998</v>
      </c>
      <c r="B2248">
        <v>-149.599604</v>
      </c>
      <c r="C2248">
        <v>-17.021117</v>
      </c>
      <c r="D2248">
        <v>138.30000000000001</v>
      </c>
      <c r="E2248">
        <v>29.7</v>
      </c>
      <c r="F2248">
        <v>8.5500000000000007</v>
      </c>
    </row>
    <row r="2249" spans="1:6" x14ac:dyDescent="0.2">
      <c r="A2249">
        <v>736787.63199999998</v>
      </c>
      <c r="B2249">
        <v>-149.599593</v>
      </c>
      <c r="C2249">
        <v>-17.021114000000001</v>
      </c>
      <c r="D2249">
        <v>138.30000000000001</v>
      </c>
      <c r="E2249">
        <v>29.7</v>
      </c>
      <c r="F2249">
        <v>8.5500000000000007</v>
      </c>
    </row>
    <row r="2250" spans="1:6" x14ac:dyDescent="0.2">
      <c r="A2250">
        <v>736787.63199999998</v>
      </c>
      <c r="B2250">
        <v>-149.599581</v>
      </c>
      <c r="C2250">
        <v>-17.021111999999999</v>
      </c>
      <c r="D2250">
        <v>138.30000000000001</v>
      </c>
      <c r="E2250">
        <v>29.7</v>
      </c>
      <c r="F2250">
        <v>8.5500000000000007</v>
      </c>
    </row>
    <row r="2251" spans="1:6" x14ac:dyDescent="0.2">
      <c r="A2251">
        <v>736787.63199999998</v>
      </c>
      <c r="B2251">
        <v>-149.59956600000001</v>
      </c>
      <c r="C2251">
        <v>-17.021111000000001</v>
      </c>
      <c r="D2251">
        <v>138.30000000000001</v>
      </c>
      <c r="E2251">
        <v>29.7</v>
      </c>
      <c r="F2251">
        <v>8.5500000000000007</v>
      </c>
    </row>
    <row r="2252" spans="1:6" x14ac:dyDescent="0.2">
      <c r="A2252">
        <v>736787.63199999998</v>
      </c>
      <c r="B2252">
        <v>-149.599546</v>
      </c>
      <c r="C2252">
        <v>-17.021108000000002</v>
      </c>
      <c r="D2252">
        <v>138.30000000000001</v>
      </c>
      <c r="E2252">
        <v>29.7</v>
      </c>
      <c r="F2252">
        <v>8.5500000000000007</v>
      </c>
    </row>
    <row r="2253" spans="1:6" x14ac:dyDescent="0.2">
      <c r="A2253">
        <v>736787.63210000005</v>
      </c>
      <c r="B2253">
        <v>-149.59953200000001</v>
      </c>
      <c r="C2253">
        <v>-17.021113</v>
      </c>
      <c r="D2253">
        <v>138.52880006759199</v>
      </c>
      <c r="E2253">
        <v>29.7</v>
      </c>
      <c r="F2253">
        <v>8.5628800067591602</v>
      </c>
    </row>
    <row r="2254" spans="1:6" x14ac:dyDescent="0.2">
      <c r="A2254">
        <v>736787.63210000005</v>
      </c>
      <c r="B2254">
        <v>-149.59952200000001</v>
      </c>
      <c r="C2254">
        <v>-17.021115999999999</v>
      </c>
      <c r="D2254">
        <v>138.52880006759199</v>
      </c>
      <c r="E2254">
        <v>29.7</v>
      </c>
      <c r="F2254">
        <v>8.5628800067591602</v>
      </c>
    </row>
    <row r="2255" spans="1:6" x14ac:dyDescent="0.2">
      <c r="A2255">
        <v>736787.63210000005</v>
      </c>
      <c r="B2255">
        <v>-149.599512</v>
      </c>
      <c r="C2255">
        <v>-17.021117</v>
      </c>
      <c r="D2255">
        <v>138.52880006759199</v>
      </c>
      <c r="E2255">
        <v>29.7</v>
      </c>
      <c r="F2255">
        <v>8.5628800067591602</v>
      </c>
    </row>
    <row r="2256" spans="1:6" x14ac:dyDescent="0.2">
      <c r="A2256">
        <v>736787.63210000005</v>
      </c>
      <c r="B2256">
        <v>-149.59950000000001</v>
      </c>
      <c r="C2256">
        <v>-17.02112</v>
      </c>
      <c r="D2256">
        <v>138.52880006759199</v>
      </c>
      <c r="E2256">
        <v>29.7</v>
      </c>
      <c r="F2256">
        <v>8.5628800067591602</v>
      </c>
    </row>
    <row r="2257" spans="1:6" x14ac:dyDescent="0.2">
      <c r="A2257">
        <v>736787.63210000005</v>
      </c>
      <c r="B2257">
        <v>-149.59948800000001</v>
      </c>
      <c r="C2257">
        <v>-17.021122999999999</v>
      </c>
      <c r="D2257">
        <v>138.52880006759199</v>
      </c>
      <c r="E2257">
        <v>29.7</v>
      </c>
      <c r="F2257">
        <v>8.5628800067591602</v>
      </c>
    </row>
    <row r="2258" spans="1:6" x14ac:dyDescent="0.2">
      <c r="A2258">
        <v>736787.63210000005</v>
      </c>
      <c r="B2258">
        <v>-149.59947600000001</v>
      </c>
      <c r="C2258">
        <v>-17.021125000000001</v>
      </c>
      <c r="D2258">
        <v>138.52880006759199</v>
      </c>
      <c r="E2258">
        <v>29.7</v>
      </c>
      <c r="F2258">
        <v>8.5628800067591602</v>
      </c>
    </row>
    <row r="2259" spans="1:6" x14ac:dyDescent="0.2">
      <c r="A2259">
        <v>736787.63210000005</v>
      </c>
      <c r="B2259">
        <v>-149.59946400000001</v>
      </c>
      <c r="C2259">
        <v>-17.021125999999999</v>
      </c>
      <c r="D2259">
        <v>138.52880006759199</v>
      </c>
      <c r="E2259">
        <v>29.7</v>
      </c>
      <c r="F2259">
        <v>8.5628800067591602</v>
      </c>
    </row>
    <row r="2260" spans="1:6" x14ac:dyDescent="0.2">
      <c r="A2260">
        <v>736787.63219999999</v>
      </c>
      <c r="B2260">
        <v>-149.59944400000001</v>
      </c>
      <c r="C2260">
        <v>-17.021129999999999</v>
      </c>
      <c r="D2260">
        <v>138.60160007081001</v>
      </c>
      <c r="E2260">
        <v>29.7</v>
      </c>
      <c r="F2260">
        <v>8.57</v>
      </c>
    </row>
    <row r="2261" spans="1:6" x14ac:dyDescent="0.2">
      <c r="A2261">
        <v>736787.63219999999</v>
      </c>
      <c r="B2261">
        <v>-149.59942799999999</v>
      </c>
      <c r="C2261">
        <v>-17.021132999999999</v>
      </c>
      <c r="D2261">
        <v>138.60160007081001</v>
      </c>
      <c r="E2261">
        <v>29.7</v>
      </c>
      <c r="F2261">
        <v>8.57</v>
      </c>
    </row>
    <row r="2262" spans="1:6" x14ac:dyDescent="0.2">
      <c r="A2262">
        <v>736787.63219999999</v>
      </c>
      <c r="B2262">
        <v>-149.59941599999999</v>
      </c>
      <c r="C2262">
        <v>-17.021134</v>
      </c>
      <c r="D2262">
        <v>138.60160007081001</v>
      </c>
      <c r="E2262">
        <v>29.7</v>
      </c>
      <c r="F2262">
        <v>8.57</v>
      </c>
    </row>
    <row r="2263" spans="1:6" x14ac:dyDescent="0.2">
      <c r="A2263">
        <v>736787.63219999999</v>
      </c>
      <c r="B2263">
        <v>-149.5994</v>
      </c>
      <c r="C2263">
        <v>-17.021137</v>
      </c>
      <c r="D2263">
        <v>138.60160007081001</v>
      </c>
      <c r="E2263">
        <v>29.7</v>
      </c>
      <c r="F2263">
        <v>8.57</v>
      </c>
    </row>
    <row r="2264" spans="1:6" x14ac:dyDescent="0.2">
      <c r="A2264">
        <v>736787.63219999999</v>
      </c>
      <c r="B2264">
        <v>-149.59938199999999</v>
      </c>
      <c r="C2264">
        <v>-17.021139000000002</v>
      </c>
      <c r="D2264">
        <v>138.60160007081001</v>
      </c>
      <c r="E2264">
        <v>29.7</v>
      </c>
      <c r="F2264">
        <v>8.57</v>
      </c>
    </row>
    <row r="2265" spans="1:6" x14ac:dyDescent="0.2">
      <c r="A2265">
        <v>736787.63219999999</v>
      </c>
      <c r="B2265">
        <v>-149.599367</v>
      </c>
      <c r="C2265">
        <v>-17.021141</v>
      </c>
      <c r="D2265">
        <v>138.60160007081001</v>
      </c>
      <c r="E2265">
        <v>29.7</v>
      </c>
      <c r="F2265">
        <v>8.57</v>
      </c>
    </row>
    <row r="2266" spans="1:6" x14ac:dyDescent="0.2">
      <c r="A2266">
        <v>736787.63219999999</v>
      </c>
      <c r="B2266">
        <v>-149.59935300000001</v>
      </c>
      <c r="C2266">
        <v>-17.021145000000001</v>
      </c>
      <c r="D2266">
        <v>138.60160007081001</v>
      </c>
      <c r="E2266">
        <v>29.7</v>
      </c>
      <c r="F2266">
        <v>8.57</v>
      </c>
    </row>
    <row r="2267" spans="1:6" x14ac:dyDescent="0.2">
      <c r="A2267">
        <v>736787.63219999999</v>
      </c>
      <c r="B2267">
        <v>-149.59933899999999</v>
      </c>
      <c r="C2267">
        <v>-17.021149000000001</v>
      </c>
      <c r="D2267">
        <v>138.60160007081001</v>
      </c>
      <c r="E2267">
        <v>29.7</v>
      </c>
      <c r="F2267">
        <v>8.57</v>
      </c>
    </row>
    <row r="2268" spans="1:6" x14ac:dyDescent="0.2">
      <c r="A2268">
        <v>736787.63230000006</v>
      </c>
      <c r="B2268">
        <v>-149.59932900000001</v>
      </c>
      <c r="C2268">
        <v>-17.021149000000001</v>
      </c>
      <c r="D2268">
        <v>138.84880014805799</v>
      </c>
      <c r="E2268">
        <v>29.7</v>
      </c>
      <c r="F2268">
        <v>8.5848800148057904</v>
      </c>
    </row>
    <row r="2269" spans="1:6" x14ac:dyDescent="0.2">
      <c r="A2269">
        <v>736787.63230000006</v>
      </c>
      <c r="B2269">
        <v>-149.59931499999999</v>
      </c>
      <c r="C2269">
        <v>-17.021153999999999</v>
      </c>
      <c r="D2269">
        <v>138.84880014805799</v>
      </c>
      <c r="E2269">
        <v>29.7</v>
      </c>
      <c r="F2269">
        <v>8.5848800148057904</v>
      </c>
    </row>
    <row r="2270" spans="1:6" x14ac:dyDescent="0.2">
      <c r="A2270">
        <v>736787.63230000006</v>
      </c>
      <c r="B2270">
        <v>-149.599298</v>
      </c>
      <c r="C2270">
        <v>-17.021159999999998</v>
      </c>
      <c r="D2270">
        <v>138.84880014805799</v>
      </c>
      <c r="E2270">
        <v>29.7</v>
      </c>
      <c r="F2270">
        <v>8.5848800148057904</v>
      </c>
    </row>
    <row r="2271" spans="1:6" x14ac:dyDescent="0.2">
      <c r="A2271">
        <v>736787.63230000006</v>
      </c>
      <c r="B2271">
        <v>-149.59928400000001</v>
      </c>
      <c r="C2271">
        <v>-17.021163000000001</v>
      </c>
      <c r="D2271">
        <v>138.84880014805799</v>
      </c>
      <c r="E2271">
        <v>29.7</v>
      </c>
      <c r="F2271">
        <v>8.5848800148057904</v>
      </c>
    </row>
    <row r="2272" spans="1:6" x14ac:dyDescent="0.2">
      <c r="A2272">
        <v>736787.63230000006</v>
      </c>
      <c r="B2272">
        <v>-149.59927099999999</v>
      </c>
      <c r="C2272">
        <v>-17.021169</v>
      </c>
      <c r="D2272">
        <v>138.84880014805799</v>
      </c>
      <c r="E2272">
        <v>29.7</v>
      </c>
      <c r="F2272">
        <v>8.5848800148057904</v>
      </c>
    </row>
    <row r="2273" spans="1:6" x14ac:dyDescent="0.2">
      <c r="A2273">
        <v>736787.63230000006</v>
      </c>
      <c r="B2273">
        <v>-149.59925799999999</v>
      </c>
      <c r="C2273">
        <v>-17.021179</v>
      </c>
      <c r="D2273">
        <v>138.84880014805799</v>
      </c>
      <c r="E2273">
        <v>29.7</v>
      </c>
      <c r="F2273">
        <v>8.5848800148057904</v>
      </c>
    </row>
    <row r="2274" spans="1:6" x14ac:dyDescent="0.2">
      <c r="A2274">
        <v>736787.63230000006</v>
      </c>
      <c r="B2274">
        <v>-149.59924799999999</v>
      </c>
      <c r="C2274">
        <v>-17.021186</v>
      </c>
      <c r="D2274">
        <v>138.84880014805799</v>
      </c>
      <c r="E2274">
        <v>29.7</v>
      </c>
      <c r="F2274">
        <v>8.5848800148057904</v>
      </c>
    </row>
    <row r="2275" spans="1:6" x14ac:dyDescent="0.2">
      <c r="A2275">
        <v>736787.63230000006</v>
      </c>
      <c r="B2275">
        <v>-149.59923900000001</v>
      </c>
      <c r="C2275">
        <v>-17.021193</v>
      </c>
      <c r="D2275">
        <v>138.84880014805799</v>
      </c>
      <c r="E2275">
        <v>29.7</v>
      </c>
      <c r="F2275">
        <v>8.5848800148057904</v>
      </c>
    </row>
    <row r="2276" spans="1:6" x14ac:dyDescent="0.2">
      <c r="A2276">
        <v>736787.63230000006</v>
      </c>
      <c r="B2276">
        <v>-149.59922800000001</v>
      </c>
      <c r="C2276">
        <v>-17.0212</v>
      </c>
      <c r="D2276">
        <v>138.84880014805799</v>
      </c>
      <c r="E2276">
        <v>29.7</v>
      </c>
      <c r="F2276">
        <v>8.5848800148057904</v>
      </c>
    </row>
    <row r="2277" spans="1:6" x14ac:dyDescent="0.2">
      <c r="A2277">
        <v>736787.6324</v>
      </c>
      <c r="B2277">
        <v>-149.59921800000001</v>
      </c>
      <c r="C2277">
        <v>-17.021205999999999</v>
      </c>
      <c r="D2277">
        <v>138.94719997103201</v>
      </c>
      <c r="E2277">
        <v>29.7</v>
      </c>
      <c r="F2277">
        <v>8.59</v>
      </c>
    </row>
    <row r="2278" spans="1:6" x14ac:dyDescent="0.2">
      <c r="A2278">
        <v>736787.6324</v>
      </c>
      <c r="B2278">
        <v>-149.59921</v>
      </c>
      <c r="C2278">
        <v>-17.021211999999998</v>
      </c>
      <c r="D2278">
        <v>138.94719997103201</v>
      </c>
      <c r="E2278">
        <v>29.7</v>
      </c>
      <c r="F2278">
        <v>8.59</v>
      </c>
    </row>
    <row r="2279" spans="1:6" x14ac:dyDescent="0.2">
      <c r="A2279">
        <v>736787.6324</v>
      </c>
      <c r="B2279">
        <v>-149.59920099999999</v>
      </c>
      <c r="C2279">
        <v>-17.02122</v>
      </c>
      <c r="D2279">
        <v>138.94719997103201</v>
      </c>
      <c r="E2279">
        <v>29.7</v>
      </c>
      <c r="F2279">
        <v>8.59</v>
      </c>
    </row>
    <row r="2280" spans="1:6" x14ac:dyDescent="0.2">
      <c r="A2280">
        <v>736787.6324</v>
      </c>
      <c r="B2280">
        <v>-149.59919500000001</v>
      </c>
      <c r="C2280">
        <v>-17.021228000000001</v>
      </c>
      <c r="D2280">
        <v>138.94719997103201</v>
      </c>
      <c r="E2280">
        <v>29.7</v>
      </c>
      <c r="F2280">
        <v>8.59</v>
      </c>
    </row>
    <row r="2281" spans="1:6" x14ac:dyDescent="0.2">
      <c r="A2281">
        <v>736787.6324</v>
      </c>
      <c r="B2281">
        <v>-149.59918099999999</v>
      </c>
      <c r="C2281">
        <v>-17.021239000000001</v>
      </c>
      <c r="D2281">
        <v>138.94719997103201</v>
      </c>
      <c r="E2281">
        <v>29.7</v>
      </c>
      <c r="F2281">
        <v>8.59</v>
      </c>
    </row>
    <row r="2282" spans="1:6" x14ac:dyDescent="0.2">
      <c r="A2282">
        <v>736787.6324</v>
      </c>
      <c r="B2282">
        <v>-149.59917300000001</v>
      </c>
      <c r="C2282">
        <v>-17.021242999999998</v>
      </c>
      <c r="D2282">
        <v>138.94719997103201</v>
      </c>
      <c r="E2282">
        <v>29.7</v>
      </c>
      <c r="F2282">
        <v>8.59</v>
      </c>
    </row>
    <row r="2283" spans="1:6" x14ac:dyDescent="0.2">
      <c r="A2283">
        <v>736787.6324</v>
      </c>
      <c r="B2283">
        <v>-149.599165</v>
      </c>
      <c r="C2283">
        <v>-17.021249000000001</v>
      </c>
      <c r="D2283">
        <v>138.94719997103201</v>
      </c>
      <c r="E2283">
        <v>29.7</v>
      </c>
      <c r="F2283">
        <v>8.59</v>
      </c>
    </row>
    <row r="2284" spans="1:6" x14ac:dyDescent="0.2">
      <c r="A2284">
        <v>736787.63249999995</v>
      </c>
      <c r="B2284">
        <v>-149.599154</v>
      </c>
      <c r="C2284">
        <v>-17.021256000000001</v>
      </c>
      <c r="D2284">
        <v>139.1</v>
      </c>
      <c r="E2284">
        <v>29.719999879300701</v>
      </c>
      <c r="F2284">
        <v>8.5980000120699298</v>
      </c>
    </row>
    <row r="2285" spans="1:6" x14ac:dyDescent="0.2">
      <c r="A2285">
        <v>736787.63249999995</v>
      </c>
      <c r="B2285">
        <v>-149.59914000000001</v>
      </c>
      <c r="C2285">
        <v>-17.021263999999999</v>
      </c>
      <c r="D2285">
        <v>139.1</v>
      </c>
      <c r="E2285">
        <v>29.719999879300701</v>
      </c>
      <c r="F2285">
        <v>8.5980000120699298</v>
      </c>
    </row>
    <row r="2286" spans="1:6" x14ac:dyDescent="0.2">
      <c r="A2286">
        <v>736787.63249999995</v>
      </c>
      <c r="B2286">
        <v>-149.59912499999999</v>
      </c>
      <c r="C2286">
        <v>-17.021270000000001</v>
      </c>
      <c r="D2286">
        <v>139.1</v>
      </c>
      <c r="E2286">
        <v>29.719999879300701</v>
      </c>
      <c r="F2286">
        <v>8.5980000120699298</v>
      </c>
    </row>
    <row r="2287" spans="1:6" x14ac:dyDescent="0.2">
      <c r="A2287">
        <v>736787.63249999995</v>
      </c>
      <c r="B2287">
        <v>-149.59911399999999</v>
      </c>
      <c r="C2287">
        <v>-17.021272</v>
      </c>
      <c r="D2287">
        <v>139.1</v>
      </c>
      <c r="E2287">
        <v>29.719999879300701</v>
      </c>
      <c r="F2287">
        <v>8.5980000120699298</v>
      </c>
    </row>
    <row r="2288" spans="1:6" x14ac:dyDescent="0.2">
      <c r="A2288">
        <v>736787.63249999995</v>
      </c>
      <c r="B2288">
        <v>-149.59910300000001</v>
      </c>
      <c r="C2288">
        <v>-17.021273999999998</v>
      </c>
      <c r="D2288">
        <v>139.1</v>
      </c>
      <c r="E2288">
        <v>29.719999879300701</v>
      </c>
      <c r="F2288">
        <v>8.5980000120699298</v>
      </c>
    </row>
    <row r="2289" spans="1:6" x14ac:dyDescent="0.2">
      <c r="A2289">
        <v>736787.63260000001</v>
      </c>
      <c r="B2289">
        <v>-149.599084</v>
      </c>
      <c r="C2289">
        <v>-17.021277999999999</v>
      </c>
      <c r="D2289">
        <v>139.19280006920101</v>
      </c>
      <c r="E2289">
        <v>29.8</v>
      </c>
      <c r="F2289">
        <v>8.5992800069201092</v>
      </c>
    </row>
    <row r="2290" spans="1:6" x14ac:dyDescent="0.2">
      <c r="A2290">
        <v>736787.63260000001</v>
      </c>
      <c r="B2290">
        <v>-149.59906699999999</v>
      </c>
      <c r="C2290">
        <v>-17.021281999999999</v>
      </c>
      <c r="D2290">
        <v>139.19280006920101</v>
      </c>
      <c r="E2290">
        <v>29.8</v>
      </c>
      <c r="F2290">
        <v>8.5992800069201092</v>
      </c>
    </row>
    <row r="2291" spans="1:6" x14ac:dyDescent="0.2">
      <c r="A2291">
        <v>736787.63260000001</v>
      </c>
      <c r="B2291">
        <v>-149.599052</v>
      </c>
      <c r="C2291">
        <v>-17.021287000000001</v>
      </c>
      <c r="D2291">
        <v>139.19280006920101</v>
      </c>
      <c r="E2291">
        <v>29.8</v>
      </c>
      <c r="F2291">
        <v>8.5992800069201092</v>
      </c>
    </row>
    <row r="2292" spans="1:6" x14ac:dyDescent="0.2">
      <c r="A2292">
        <v>736787.63260000001</v>
      </c>
      <c r="B2292">
        <v>-149.59903299999999</v>
      </c>
      <c r="C2292">
        <v>-17.021291000000002</v>
      </c>
      <c r="D2292">
        <v>139.19280006920101</v>
      </c>
      <c r="E2292">
        <v>29.8</v>
      </c>
      <c r="F2292">
        <v>8.5992800069201092</v>
      </c>
    </row>
    <row r="2293" spans="1:6" x14ac:dyDescent="0.2">
      <c r="A2293">
        <v>736787.63260000001</v>
      </c>
      <c r="B2293">
        <v>-149.59902</v>
      </c>
      <c r="C2293">
        <v>-17.021291999999999</v>
      </c>
      <c r="D2293">
        <v>139.19280006920101</v>
      </c>
      <c r="E2293">
        <v>29.8</v>
      </c>
      <c r="F2293">
        <v>8.5992800069201092</v>
      </c>
    </row>
    <row r="2294" spans="1:6" x14ac:dyDescent="0.2">
      <c r="A2294">
        <v>736787.63269999996</v>
      </c>
      <c r="B2294">
        <v>-149.599006</v>
      </c>
      <c r="C2294">
        <v>-17.021294999999999</v>
      </c>
      <c r="D2294">
        <v>141.84639782902099</v>
      </c>
      <c r="E2294">
        <v>29.8</v>
      </c>
      <c r="F2294">
        <v>8.7521598743117597</v>
      </c>
    </row>
    <row r="2295" spans="1:6" x14ac:dyDescent="0.2">
      <c r="A2295">
        <v>736787.63269999996</v>
      </c>
      <c r="B2295">
        <v>-149.598996</v>
      </c>
      <c r="C2295">
        <v>-17.021298000000002</v>
      </c>
      <c r="D2295">
        <v>141.84639782902099</v>
      </c>
      <c r="E2295">
        <v>29.8</v>
      </c>
      <c r="F2295">
        <v>8.7521598743117597</v>
      </c>
    </row>
    <row r="2296" spans="1:6" x14ac:dyDescent="0.2">
      <c r="A2296">
        <v>736787.63269999996</v>
      </c>
      <c r="B2296">
        <v>-149.598985</v>
      </c>
      <c r="C2296">
        <v>-17.021303</v>
      </c>
      <c r="D2296">
        <v>141.84639782902099</v>
      </c>
      <c r="E2296">
        <v>29.8</v>
      </c>
      <c r="F2296">
        <v>8.7521598743117597</v>
      </c>
    </row>
    <row r="2297" spans="1:6" x14ac:dyDescent="0.2">
      <c r="A2297">
        <v>736787.63269999996</v>
      </c>
      <c r="B2297">
        <v>-149.59897799999999</v>
      </c>
      <c r="C2297">
        <v>-17.021308999999999</v>
      </c>
      <c r="D2297">
        <v>141.84639782902099</v>
      </c>
      <c r="E2297">
        <v>29.8</v>
      </c>
      <c r="F2297">
        <v>8.7521598743117597</v>
      </c>
    </row>
    <row r="2298" spans="1:6" x14ac:dyDescent="0.2">
      <c r="A2298">
        <v>736787.63269999996</v>
      </c>
      <c r="B2298">
        <v>-149.59897000000001</v>
      </c>
      <c r="C2298">
        <v>-17.021315999999999</v>
      </c>
      <c r="D2298">
        <v>141.84639782902099</v>
      </c>
      <c r="E2298">
        <v>29.8</v>
      </c>
      <c r="F2298">
        <v>8.7521598743117597</v>
      </c>
    </row>
    <row r="2299" spans="1:6" x14ac:dyDescent="0.2">
      <c r="A2299">
        <v>736787.63269999996</v>
      </c>
      <c r="B2299">
        <v>-149.598961</v>
      </c>
      <c r="C2299">
        <v>-17.021336999999999</v>
      </c>
      <c r="D2299">
        <v>141.84639782902099</v>
      </c>
      <c r="E2299">
        <v>29.8</v>
      </c>
      <c r="F2299">
        <v>8.7521598743117597</v>
      </c>
    </row>
    <row r="2300" spans="1:6" x14ac:dyDescent="0.2">
      <c r="A2300">
        <v>736787.63280000002</v>
      </c>
      <c r="B2300">
        <v>-149.59895499999999</v>
      </c>
      <c r="C2300">
        <v>-17.021353999999999</v>
      </c>
      <c r="D2300">
        <v>142.42319981975601</v>
      </c>
      <c r="E2300">
        <v>29.8</v>
      </c>
      <c r="F2300">
        <v>8.7923199819755702</v>
      </c>
    </row>
    <row r="2301" spans="1:6" x14ac:dyDescent="0.2">
      <c r="A2301">
        <v>736787.63280000002</v>
      </c>
      <c r="B2301">
        <v>-149.59894600000001</v>
      </c>
      <c r="C2301">
        <v>-17.021369</v>
      </c>
      <c r="D2301">
        <v>142.42319981975601</v>
      </c>
      <c r="E2301">
        <v>29.8</v>
      </c>
      <c r="F2301">
        <v>8.7923199819755702</v>
      </c>
    </row>
    <row r="2302" spans="1:6" x14ac:dyDescent="0.2">
      <c r="A2302">
        <v>736787.63280000002</v>
      </c>
      <c r="B2302">
        <v>-149.59894</v>
      </c>
      <c r="C2302">
        <v>-17.021377999999999</v>
      </c>
      <c r="D2302">
        <v>142.42319981975601</v>
      </c>
      <c r="E2302">
        <v>29.8</v>
      </c>
      <c r="F2302">
        <v>8.7923199819755702</v>
      </c>
    </row>
    <row r="2303" spans="1:6" x14ac:dyDescent="0.2">
      <c r="A2303">
        <v>736787.63280000002</v>
      </c>
      <c r="B2303">
        <v>-149.59892500000001</v>
      </c>
      <c r="C2303">
        <v>-17.021387000000001</v>
      </c>
      <c r="D2303">
        <v>142.42319981975601</v>
      </c>
      <c r="E2303">
        <v>29.8</v>
      </c>
      <c r="F2303">
        <v>8.7923199819755702</v>
      </c>
    </row>
    <row r="2304" spans="1:6" x14ac:dyDescent="0.2">
      <c r="A2304">
        <v>736787.63280000002</v>
      </c>
      <c r="B2304">
        <v>-149.59891300000001</v>
      </c>
      <c r="C2304">
        <v>-17.021394000000001</v>
      </c>
      <c r="D2304">
        <v>142.42319981975601</v>
      </c>
      <c r="E2304">
        <v>29.8</v>
      </c>
      <c r="F2304">
        <v>8.7923199819755702</v>
      </c>
    </row>
    <row r="2305" spans="1:6" x14ac:dyDescent="0.2">
      <c r="A2305">
        <v>736787.63289999997</v>
      </c>
      <c r="B2305">
        <v>-149.598893</v>
      </c>
      <c r="C2305">
        <v>-17.021401999999998</v>
      </c>
      <c r="D2305">
        <v>141.1</v>
      </c>
      <c r="E2305">
        <v>29.8</v>
      </c>
      <c r="F2305">
        <v>8.7100000000000009</v>
      </c>
    </row>
    <row r="2306" spans="1:6" x14ac:dyDescent="0.2">
      <c r="A2306">
        <v>736787.63289999997</v>
      </c>
      <c r="B2306">
        <v>-149.59888000000001</v>
      </c>
      <c r="C2306">
        <v>-17.021408000000001</v>
      </c>
      <c r="D2306">
        <v>141.1</v>
      </c>
      <c r="E2306">
        <v>29.8</v>
      </c>
      <c r="F2306">
        <v>8.7100000000000009</v>
      </c>
    </row>
    <row r="2307" spans="1:6" x14ac:dyDescent="0.2">
      <c r="A2307">
        <v>736787.63289999997</v>
      </c>
      <c r="B2307">
        <v>-149.59886700000001</v>
      </c>
      <c r="C2307">
        <v>-17.021408999999998</v>
      </c>
      <c r="D2307">
        <v>141.1</v>
      </c>
      <c r="E2307">
        <v>29.8</v>
      </c>
      <c r="F2307">
        <v>8.7100000000000009</v>
      </c>
    </row>
    <row r="2308" spans="1:6" x14ac:dyDescent="0.2">
      <c r="A2308">
        <v>736787.63289999997</v>
      </c>
      <c r="B2308">
        <v>-149.59885299999999</v>
      </c>
      <c r="C2308">
        <v>-17.021408999999998</v>
      </c>
      <c r="D2308">
        <v>141.1</v>
      </c>
      <c r="E2308">
        <v>29.8</v>
      </c>
      <c r="F2308">
        <v>8.7100000000000009</v>
      </c>
    </row>
    <row r="2309" spans="1:6" x14ac:dyDescent="0.2">
      <c r="A2309">
        <v>736787.63289999997</v>
      </c>
      <c r="B2309">
        <v>-149.598839</v>
      </c>
      <c r="C2309">
        <v>-17.021415000000001</v>
      </c>
      <c r="D2309">
        <v>141.1</v>
      </c>
      <c r="E2309">
        <v>29.8</v>
      </c>
      <c r="F2309">
        <v>8.7100000000000009</v>
      </c>
    </row>
    <row r="2310" spans="1:6" x14ac:dyDescent="0.2">
      <c r="A2310">
        <v>736787.63289999997</v>
      </c>
      <c r="B2310">
        <v>-149.598826</v>
      </c>
      <c r="C2310">
        <v>-17.021417</v>
      </c>
      <c r="D2310">
        <v>141.1</v>
      </c>
      <c r="E2310">
        <v>29.8</v>
      </c>
      <c r="F2310">
        <v>8.7100000000000009</v>
      </c>
    </row>
    <row r="2311" spans="1:6" x14ac:dyDescent="0.2">
      <c r="A2311">
        <v>736787.63289999997</v>
      </c>
      <c r="B2311">
        <v>-149.59881300000001</v>
      </c>
      <c r="C2311">
        <v>-17.021414</v>
      </c>
      <c r="D2311">
        <v>141.1</v>
      </c>
      <c r="E2311">
        <v>29.8</v>
      </c>
      <c r="F2311">
        <v>8.7100000000000009</v>
      </c>
    </row>
    <row r="2312" spans="1:6" x14ac:dyDescent="0.2">
      <c r="A2312">
        <v>736787.63289999997</v>
      </c>
      <c r="B2312">
        <v>-149.59879900000001</v>
      </c>
      <c r="C2312">
        <v>-17.021418000000001</v>
      </c>
      <c r="D2312">
        <v>141.1</v>
      </c>
      <c r="E2312">
        <v>29.8</v>
      </c>
      <c r="F2312">
        <v>8.7100000000000009</v>
      </c>
    </row>
    <row r="2313" spans="1:6" x14ac:dyDescent="0.2">
      <c r="A2313">
        <v>736787.63300000003</v>
      </c>
      <c r="B2313">
        <v>-149.59878699999999</v>
      </c>
      <c r="C2313">
        <v>-17.021421</v>
      </c>
      <c r="D2313">
        <v>142.02400106215401</v>
      </c>
      <c r="E2313">
        <v>29.8</v>
      </c>
      <c r="F2313">
        <v>8.7688000675916307</v>
      </c>
    </row>
    <row r="2314" spans="1:6" x14ac:dyDescent="0.2">
      <c r="A2314">
        <v>736787.63300000003</v>
      </c>
      <c r="B2314">
        <v>-149.59877599999999</v>
      </c>
      <c r="C2314">
        <v>-17.021419999999999</v>
      </c>
      <c r="D2314">
        <v>142.02400106215401</v>
      </c>
      <c r="E2314">
        <v>29.8</v>
      </c>
      <c r="F2314">
        <v>8.7688000675916307</v>
      </c>
    </row>
    <row r="2315" spans="1:6" x14ac:dyDescent="0.2">
      <c r="A2315">
        <v>736787.63300000003</v>
      </c>
      <c r="B2315">
        <v>-149.59876399999999</v>
      </c>
      <c r="C2315">
        <v>-17.021419000000002</v>
      </c>
      <c r="D2315">
        <v>142.02400106215401</v>
      </c>
      <c r="E2315">
        <v>29.8</v>
      </c>
      <c r="F2315">
        <v>8.7688000675916307</v>
      </c>
    </row>
    <row r="2316" spans="1:6" x14ac:dyDescent="0.2">
      <c r="A2316">
        <v>736787.63300000003</v>
      </c>
      <c r="B2316">
        <v>-149.59875099999999</v>
      </c>
      <c r="C2316">
        <v>-17.021414</v>
      </c>
      <c r="D2316">
        <v>142.02400106215401</v>
      </c>
      <c r="E2316">
        <v>29.8</v>
      </c>
      <c r="F2316">
        <v>8.7688000675916307</v>
      </c>
    </row>
    <row r="2317" spans="1:6" x14ac:dyDescent="0.2">
      <c r="A2317">
        <v>736787.63300000003</v>
      </c>
      <c r="B2317">
        <v>-149.59874099999999</v>
      </c>
      <c r="C2317">
        <v>-17.021411000000001</v>
      </c>
      <c r="D2317">
        <v>142.02400106215401</v>
      </c>
      <c r="E2317">
        <v>29.8</v>
      </c>
      <c r="F2317">
        <v>8.7688000675916307</v>
      </c>
    </row>
    <row r="2318" spans="1:6" x14ac:dyDescent="0.2">
      <c r="A2318">
        <v>736787.63300000003</v>
      </c>
      <c r="B2318">
        <v>-149.59872799999999</v>
      </c>
      <c r="C2318">
        <v>-17.021409999999999</v>
      </c>
      <c r="D2318">
        <v>142.02400106215401</v>
      </c>
      <c r="E2318">
        <v>29.8</v>
      </c>
      <c r="F2318">
        <v>8.7688000675916307</v>
      </c>
    </row>
    <row r="2319" spans="1:6" x14ac:dyDescent="0.2">
      <c r="A2319">
        <v>736787.63300000003</v>
      </c>
      <c r="B2319">
        <v>-149.598713</v>
      </c>
      <c r="C2319">
        <v>-17.021408999999998</v>
      </c>
      <c r="D2319">
        <v>142.02400106215401</v>
      </c>
      <c r="E2319">
        <v>29.8</v>
      </c>
      <c r="F2319">
        <v>8.7688000675916307</v>
      </c>
    </row>
    <row r="2320" spans="1:6" x14ac:dyDescent="0.2">
      <c r="A2320">
        <v>736787.63300000003</v>
      </c>
      <c r="B2320">
        <v>-149.59870100000001</v>
      </c>
      <c r="C2320">
        <v>-17.021411000000001</v>
      </c>
      <c r="D2320">
        <v>142.02400106215401</v>
      </c>
      <c r="E2320">
        <v>29.8</v>
      </c>
      <c r="F2320">
        <v>8.7688000675916307</v>
      </c>
    </row>
    <row r="2321" spans="1:6" x14ac:dyDescent="0.2">
      <c r="A2321">
        <v>736787.63309999998</v>
      </c>
      <c r="B2321">
        <v>-149.59868599999999</v>
      </c>
      <c r="C2321">
        <v>-17.021415000000001</v>
      </c>
      <c r="D2321">
        <v>144.19999999999999</v>
      </c>
      <c r="E2321">
        <v>29.9</v>
      </c>
      <c r="F2321">
        <v>8.89</v>
      </c>
    </row>
    <row r="2322" spans="1:6" x14ac:dyDescent="0.2">
      <c r="A2322">
        <v>736787.63309999998</v>
      </c>
      <c r="B2322">
        <v>-149.59867</v>
      </c>
      <c r="C2322">
        <v>-17.021419999999999</v>
      </c>
      <c r="D2322">
        <v>144.19999999999999</v>
      </c>
      <c r="E2322">
        <v>29.9</v>
      </c>
      <c r="F2322">
        <v>8.89</v>
      </c>
    </row>
    <row r="2323" spans="1:6" x14ac:dyDescent="0.2">
      <c r="A2323">
        <v>736787.63309999998</v>
      </c>
      <c r="B2323">
        <v>-149.598645</v>
      </c>
      <c r="C2323">
        <v>-17.021432000000001</v>
      </c>
      <c r="D2323">
        <v>144.19999999999999</v>
      </c>
      <c r="E2323">
        <v>29.9</v>
      </c>
      <c r="F2323">
        <v>8.89</v>
      </c>
    </row>
    <row r="2324" spans="1:6" x14ac:dyDescent="0.2">
      <c r="A2324">
        <v>736787.63309999998</v>
      </c>
      <c r="B2324">
        <v>-149.598635</v>
      </c>
      <c r="C2324">
        <v>-17.021438</v>
      </c>
      <c r="D2324">
        <v>144.19999999999999</v>
      </c>
      <c r="E2324">
        <v>29.9</v>
      </c>
      <c r="F2324">
        <v>8.89</v>
      </c>
    </row>
    <row r="2325" spans="1:6" x14ac:dyDescent="0.2">
      <c r="A2325">
        <v>736787.63309999998</v>
      </c>
      <c r="B2325">
        <v>-149.59862000000001</v>
      </c>
      <c r="C2325">
        <v>-17.021443999999999</v>
      </c>
      <c r="D2325">
        <v>144.19999999999999</v>
      </c>
      <c r="E2325">
        <v>29.9</v>
      </c>
      <c r="F2325">
        <v>8.89</v>
      </c>
    </row>
    <row r="2326" spans="1:6" x14ac:dyDescent="0.2">
      <c r="A2326">
        <v>736787.63309999998</v>
      </c>
      <c r="B2326">
        <v>-149.59860699999999</v>
      </c>
      <c r="C2326">
        <v>-17.021450000000002</v>
      </c>
      <c r="D2326">
        <v>144.19999999999999</v>
      </c>
      <c r="E2326">
        <v>29.9</v>
      </c>
      <c r="F2326">
        <v>8.89</v>
      </c>
    </row>
    <row r="2327" spans="1:6" x14ac:dyDescent="0.2">
      <c r="A2327">
        <v>736787.63309999998</v>
      </c>
      <c r="B2327">
        <v>-149.59859399999999</v>
      </c>
      <c r="C2327">
        <v>-17.021457000000002</v>
      </c>
      <c r="D2327">
        <v>144.19999999999999</v>
      </c>
      <c r="E2327">
        <v>29.9</v>
      </c>
      <c r="F2327">
        <v>8.89</v>
      </c>
    </row>
    <row r="2328" spans="1:6" x14ac:dyDescent="0.2">
      <c r="A2328">
        <v>736787.63309999998</v>
      </c>
      <c r="B2328">
        <v>-149.59858199999999</v>
      </c>
      <c r="C2328">
        <v>-17.021462</v>
      </c>
      <c r="D2328">
        <v>144.19999999999999</v>
      </c>
      <c r="E2328">
        <v>29.9</v>
      </c>
      <c r="F2328">
        <v>8.89</v>
      </c>
    </row>
    <row r="2329" spans="1:6" x14ac:dyDescent="0.2">
      <c r="A2329">
        <v>736787.63320000004</v>
      </c>
      <c r="B2329">
        <v>-149.59856199999999</v>
      </c>
      <c r="C2329">
        <v>-17.021460999999999</v>
      </c>
      <c r="D2329">
        <v>146.89920278091299</v>
      </c>
      <c r="E2329">
        <v>29.929600102996801</v>
      </c>
      <c r="F2329">
        <v>9.0544001544951396</v>
      </c>
    </row>
    <row r="2330" spans="1:6" x14ac:dyDescent="0.2">
      <c r="A2330">
        <v>736787.63320000004</v>
      </c>
      <c r="B2330">
        <v>-149.59854799999999</v>
      </c>
      <c r="C2330">
        <v>-17.021460000000001</v>
      </c>
      <c r="D2330">
        <v>146.89920278091299</v>
      </c>
      <c r="E2330">
        <v>29.929600102996801</v>
      </c>
      <c r="F2330">
        <v>9.0544001544951396</v>
      </c>
    </row>
    <row r="2331" spans="1:6" x14ac:dyDescent="0.2">
      <c r="A2331">
        <v>736787.63320000004</v>
      </c>
      <c r="B2331">
        <v>-149.598535</v>
      </c>
      <c r="C2331">
        <v>-17.021455</v>
      </c>
      <c r="D2331">
        <v>146.89920278091299</v>
      </c>
      <c r="E2331">
        <v>29.929600102996801</v>
      </c>
      <c r="F2331">
        <v>9.0544001544951396</v>
      </c>
    </row>
    <row r="2332" spans="1:6" x14ac:dyDescent="0.2">
      <c r="A2332">
        <v>736787.63320000004</v>
      </c>
      <c r="B2332">
        <v>-149.59851800000001</v>
      </c>
      <c r="C2332">
        <v>-17.021453000000001</v>
      </c>
      <c r="D2332">
        <v>146.89920278091299</v>
      </c>
      <c r="E2332">
        <v>29.929600102996801</v>
      </c>
      <c r="F2332">
        <v>9.0544001544951396</v>
      </c>
    </row>
    <row r="2333" spans="1:6" x14ac:dyDescent="0.2">
      <c r="A2333">
        <v>736787.63320000004</v>
      </c>
      <c r="B2333">
        <v>-149.59850599999999</v>
      </c>
      <c r="C2333">
        <v>-17.021449</v>
      </c>
      <c r="D2333">
        <v>146.89920278091299</v>
      </c>
      <c r="E2333">
        <v>29.929600102996801</v>
      </c>
      <c r="F2333">
        <v>9.0544001544951396</v>
      </c>
    </row>
    <row r="2334" spans="1:6" x14ac:dyDescent="0.2">
      <c r="A2334">
        <v>736787.63329999999</v>
      </c>
      <c r="B2334">
        <v>-149.59848500000001</v>
      </c>
      <c r="C2334">
        <v>-17.021449</v>
      </c>
      <c r="D2334">
        <v>148.83359873828701</v>
      </c>
      <c r="E2334">
        <v>30</v>
      </c>
      <c r="F2334">
        <v>9.1619199279021206</v>
      </c>
    </row>
    <row r="2335" spans="1:6" x14ac:dyDescent="0.2">
      <c r="A2335">
        <v>736787.63329999999</v>
      </c>
      <c r="B2335">
        <v>-149.59847400000001</v>
      </c>
      <c r="C2335">
        <v>-17.021453999999999</v>
      </c>
      <c r="D2335">
        <v>148.83359873828701</v>
      </c>
      <c r="E2335">
        <v>30</v>
      </c>
      <c r="F2335">
        <v>9.1619199279021206</v>
      </c>
    </row>
    <row r="2336" spans="1:6" x14ac:dyDescent="0.2">
      <c r="A2336">
        <v>736787.63329999999</v>
      </c>
      <c r="B2336">
        <v>-149.598465</v>
      </c>
      <c r="C2336">
        <v>-17.021459</v>
      </c>
      <c r="D2336">
        <v>148.83359873828701</v>
      </c>
      <c r="E2336">
        <v>30</v>
      </c>
      <c r="F2336">
        <v>9.1619199279021206</v>
      </c>
    </row>
    <row r="2337" spans="1:6" x14ac:dyDescent="0.2">
      <c r="A2337">
        <v>736787.63329999999</v>
      </c>
      <c r="B2337">
        <v>-149.598454</v>
      </c>
      <c r="C2337">
        <v>-17.021462</v>
      </c>
      <c r="D2337">
        <v>148.83359873828701</v>
      </c>
      <c r="E2337">
        <v>30</v>
      </c>
      <c r="F2337">
        <v>9.1619199279021206</v>
      </c>
    </row>
    <row r="2338" spans="1:6" x14ac:dyDescent="0.2">
      <c r="A2338">
        <v>736787.63329999999</v>
      </c>
      <c r="B2338">
        <v>-149.598445</v>
      </c>
      <c r="C2338">
        <v>-17.021467000000001</v>
      </c>
      <c r="D2338">
        <v>148.83359873828701</v>
      </c>
      <c r="E2338">
        <v>30</v>
      </c>
      <c r="F2338">
        <v>9.1619199279021206</v>
      </c>
    </row>
    <row r="2339" spans="1:6" x14ac:dyDescent="0.2">
      <c r="A2339">
        <v>736787.63329999999</v>
      </c>
      <c r="B2339">
        <v>-149.59843100000001</v>
      </c>
      <c r="C2339">
        <v>-17.021474000000001</v>
      </c>
      <c r="D2339">
        <v>148.83359873828701</v>
      </c>
      <c r="E2339">
        <v>30</v>
      </c>
      <c r="F2339">
        <v>9.1619199279021206</v>
      </c>
    </row>
    <row r="2340" spans="1:6" x14ac:dyDescent="0.2">
      <c r="A2340">
        <v>736787.63329999999</v>
      </c>
      <c r="B2340">
        <v>-149.598421</v>
      </c>
      <c r="C2340">
        <v>-17.021477000000001</v>
      </c>
      <c r="D2340">
        <v>148.83359873828701</v>
      </c>
      <c r="E2340">
        <v>30</v>
      </c>
      <c r="F2340">
        <v>9.1619199279021206</v>
      </c>
    </row>
    <row r="2341" spans="1:6" x14ac:dyDescent="0.2">
      <c r="A2341">
        <v>736787.63329999999</v>
      </c>
      <c r="B2341">
        <v>-149.598412</v>
      </c>
      <c r="C2341">
        <v>-17.021481999999999</v>
      </c>
      <c r="D2341">
        <v>148.83359873828701</v>
      </c>
      <c r="E2341">
        <v>30</v>
      </c>
      <c r="F2341">
        <v>9.1619199279021206</v>
      </c>
    </row>
    <row r="2342" spans="1:6" x14ac:dyDescent="0.2">
      <c r="A2342">
        <v>736787.63340000005</v>
      </c>
      <c r="B2342">
        <v>-149.59839700000001</v>
      </c>
      <c r="C2342">
        <v>-17.021488000000002</v>
      </c>
      <c r="D2342">
        <v>150.651200656604</v>
      </c>
      <c r="E2342">
        <v>30</v>
      </c>
      <c r="F2342">
        <v>9.2700800437736195</v>
      </c>
    </row>
    <row r="2343" spans="1:6" x14ac:dyDescent="0.2">
      <c r="A2343">
        <v>736787.63340000005</v>
      </c>
      <c r="B2343">
        <v>-149.59838400000001</v>
      </c>
      <c r="C2343">
        <v>-17.02149</v>
      </c>
      <c r="D2343">
        <v>150.651200656604</v>
      </c>
      <c r="E2343">
        <v>30</v>
      </c>
      <c r="F2343">
        <v>9.2700800437736195</v>
      </c>
    </row>
    <row r="2344" spans="1:6" x14ac:dyDescent="0.2">
      <c r="A2344">
        <v>736787.63340000005</v>
      </c>
      <c r="B2344">
        <v>-149.598364</v>
      </c>
      <c r="C2344">
        <v>-17.021494000000001</v>
      </c>
      <c r="D2344">
        <v>150.651200656604</v>
      </c>
      <c r="E2344">
        <v>30</v>
      </c>
      <c r="F2344">
        <v>9.2700800437736195</v>
      </c>
    </row>
    <row r="2345" spans="1:6" x14ac:dyDescent="0.2">
      <c r="A2345">
        <v>736787.63340000005</v>
      </c>
      <c r="B2345">
        <v>-149.59835100000001</v>
      </c>
      <c r="C2345">
        <v>-17.021497</v>
      </c>
      <c r="D2345">
        <v>150.651200656604</v>
      </c>
      <c r="E2345">
        <v>30</v>
      </c>
      <c r="F2345">
        <v>9.2700800437736195</v>
      </c>
    </row>
    <row r="2346" spans="1:6" x14ac:dyDescent="0.2">
      <c r="A2346">
        <v>736787.63340000005</v>
      </c>
      <c r="B2346">
        <v>-149.598341</v>
      </c>
      <c r="C2346">
        <v>-17.021502000000002</v>
      </c>
      <c r="D2346">
        <v>150.651200656604</v>
      </c>
      <c r="E2346">
        <v>30</v>
      </c>
      <c r="F2346">
        <v>9.2700800437736195</v>
      </c>
    </row>
    <row r="2347" spans="1:6" x14ac:dyDescent="0.2">
      <c r="A2347">
        <v>736787.63340000005</v>
      </c>
      <c r="B2347">
        <v>-149.59832700000001</v>
      </c>
      <c r="C2347">
        <v>-17.021505000000001</v>
      </c>
      <c r="D2347">
        <v>150.651200656604</v>
      </c>
      <c r="E2347">
        <v>30</v>
      </c>
      <c r="F2347">
        <v>9.2700800437736195</v>
      </c>
    </row>
    <row r="2348" spans="1:6" x14ac:dyDescent="0.2">
      <c r="A2348">
        <v>736787.6335</v>
      </c>
      <c r="B2348">
        <v>-149.598309</v>
      </c>
      <c r="C2348">
        <v>-17.021505000000001</v>
      </c>
      <c r="D2348">
        <v>150.94400002414</v>
      </c>
      <c r="E2348">
        <v>30.1</v>
      </c>
      <c r="F2348">
        <v>9.2848000008046601</v>
      </c>
    </row>
    <row r="2349" spans="1:6" x14ac:dyDescent="0.2">
      <c r="A2349">
        <v>736787.6335</v>
      </c>
      <c r="B2349">
        <v>-149.598298</v>
      </c>
      <c r="C2349">
        <v>-17.021502999999999</v>
      </c>
      <c r="D2349">
        <v>150.94400002414</v>
      </c>
      <c r="E2349">
        <v>30.1</v>
      </c>
      <c r="F2349">
        <v>9.2848000008046601</v>
      </c>
    </row>
    <row r="2350" spans="1:6" x14ac:dyDescent="0.2">
      <c r="A2350">
        <v>736787.6335</v>
      </c>
      <c r="B2350">
        <v>-149.598288</v>
      </c>
      <c r="C2350">
        <v>-17.021502999999999</v>
      </c>
      <c r="D2350">
        <v>150.94400002414</v>
      </c>
      <c r="E2350">
        <v>30.1</v>
      </c>
      <c r="F2350">
        <v>9.2848000008046601</v>
      </c>
    </row>
    <row r="2351" spans="1:6" x14ac:dyDescent="0.2">
      <c r="A2351">
        <v>736787.6335</v>
      </c>
      <c r="B2351">
        <v>-149.59827799999999</v>
      </c>
      <c r="C2351">
        <v>-17.021502999999999</v>
      </c>
      <c r="D2351">
        <v>150.94400002414</v>
      </c>
      <c r="E2351">
        <v>30.1</v>
      </c>
      <c r="F2351">
        <v>9.2848000008046601</v>
      </c>
    </row>
    <row r="2352" spans="1:6" x14ac:dyDescent="0.2">
      <c r="A2352">
        <v>736787.6335</v>
      </c>
      <c r="B2352">
        <v>-149.59826799999999</v>
      </c>
      <c r="C2352">
        <v>-17.021501000000001</v>
      </c>
      <c r="D2352">
        <v>150.94400002414</v>
      </c>
      <c r="E2352">
        <v>30.1</v>
      </c>
      <c r="F2352">
        <v>9.2848000008046601</v>
      </c>
    </row>
    <row r="2353" spans="1:6" x14ac:dyDescent="0.2">
      <c r="A2353">
        <v>736787.6335</v>
      </c>
      <c r="B2353">
        <v>-149.59825699999999</v>
      </c>
      <c r="C2353">
        <v>-17.021498999999999</v>
      </c>
      <c r="D2353">
        <v>150.94400002414</v>
      </c>
      <c r="E2353">
        <v>30.1</v>
      </c>
      <c r="F2353">
        <v>9.2848000008046601</v>
      </c>
    </row>
    <row r="2354" spans="1:6" x14ac:dyDescent="0.2">
      <c r="A2354">
        <v>736787.6335</v>
      </c>
      <c r="B2354">
        <v>-149.59824499999999</v>
      </c>
      <c r="C2354">
        <v>-17.021498000000001</v>
      </c>
      <c r="D2354">
        <v>150.94400002414</v>
      </c>
      <c r="E2354">
        <v>30.1</v>
      </c>
      <c r="F2354">
        <v>9.2848000008046601</v>
      </c>
    </row>
    <row r="2355" spans="1:6" x14ac:dyDescent="0.2">
      <c r="A2355">
        <v>736787.6335</v>
      </c>
      <c r="B2355">
        <v>-149.59823299999999</v>
      </c>
      <c r="C2355">
        <v>-17.021497</v>
      </c>
      <c r="D2355">
        <v>150.94400002414</v>
      </c>
      <c r="E2355">
        <v>30.1</v>
      </c>
      <c r="F2355">
        <v>9.2848000008046601</v>
      </c>
    </row>
    <row r="2356" spans="1:6" x14ac:dyDescent="0.2">
      <c r="A2356">
        <v>736787.63359999994</v>
      </c>
      <c r="B2356">
        <v>-149.59822</v>
      </c>
      <c r="C2356">
        <v>-17.021497</v>
      </c>
      <c r="D2356">
        <v>151.66239974411701</v>
      </c>
      <c r="E2356">
        <v>30.1</v>
      </c>
      <c r="F2356">
        <v>9.3241599829411594</v>
      </c>
    </row>
    <row r="2357" spans="1:6" x14ac:dyDescent="0.2">
      <c r="A2357">
        <v>736787.63359999994</v>
      </c>
      <c r="B2357">
        <v>-149.598208</v>
      </c>
      <c r="C2357">
        <v>-17.021497</v>
      </c>
      <c r="D2357">
        <v>151.66239974411701</v>
      </c>
      <c r="E2357">
        <v>30.1</v>
      </c>
      <c r="F2357">
        <v>9.3241599829411594</v>
      </c>
    </row>
    <row r="2358" spans="1:6" x14ac:dyDescent="0.2">
      <c r="A2358">
        <v>736787.63359999994</v>
      </c>
      <c r="B2358">
        <v>-149.598196</v>
      </c>
      <c r="C2358">
        <v>-17.021498000000001</v>
      </c>
      <c r="D2358">
        <v>151.66239974411701</v>
      </c>
      <c r="E2358">
        <v>30.1</v>
      </c>
      <c r="F2358">
        <v>9.3241599829411594</v>
      </c>
    </row>
    <row r="2359" spans="1:6" x14ac:dyDescent="0.2">
      <c r="A2359">
        <v>736787.63359999994</v>
      </c>
      <c r="B2359">
        <v>-149.598186</v>
      </c>
      <c r="C2359">
        <v>-17.0215</v>
      </c>
      <c r="D2359">
        <v>151.66239974411701</v>
      </c>
      <c r="E2359">
        <v>30.1</v>
      </c>
      <c r="F2359">
        <v>9.3241599829411594</v>
      </c>
    </row>
    <row r="2360" spans="1:6" x14ac:dyDescent="0.2">
      <c r="A2360">
        <v>736787.63359999994</v>
      </c>
      <c r="B2360">
        <v>-149.59816799999999</v>
      </c>
      <c r="C2360">
        <v>-17.021507</v>
      </c>
      <c r="D2360">
        <v>151.66239974411701</v>
      </c>
      <c r="E2360">
        <v>30.1</v>
      </c>
      <c r="F2360">
        <v>9.3241599829411594</v>
      </c>
    </row>
    <row r="2361" spans="1:6" x14ac:dyDescent="0.2">
      <c r="A2361">
        <v>736787.63359999994</v>
      </c>
      <c r="B2361">
        <v>-149.59816000000001</v>
      </c>
      <c r="C2361">
        <v>-17.021511</v>
      </c>
      <c r="D2361">
        <v>151.66239974411701</v>
      </c>
      <c r="E2361">
        <v>30.1</v>
      </c>
      <c r="F2361">
        <v>9.3241599829411594</v>
      </c>
    </row>
    <row r="2362" spans="1:6" x14ac:dyDescent="0.2">
      <c r="A2362">
        <v>736787.63359999994</v>
      </c>
      <c r="B2362">
        <v>-149.59815</v>
      </c>
      <c r="C2362">
        <v>-17.021514</v>
      </c>
      <c r="D2362">
        <v>151.66239974411701</v>
      </c>
      <c r="E2362">
        <v>30.1</v>
      </c>
      <c r="F2362">
        <v>9.3241599829411594</v>
      </c>
    </row>
    <row r="2363" spans="1:6" x14ac:dyDescent="0.2">
      <c r="A2363">
        <v>736787.63370000001</v>
      </c>
      <c r="B2363">
        <v>-149.59813299999999</v>
      </c>
      <c r="C2363">
        <v>-17.021518</v>
      </c>
      <c r="D2363">
        <v>151.9</v>
      </c>
      <c r="E2363">
        <v>30.1</v>
      </c>
      <c r="F2363">
        <v>9.34</v>
      </c>
    </row>
    <row r="2364" spans="1:6" x14ac:dyDescent="0.2">
      <c r="A2364">
        <v>736787.63370000001</v>
      </c>
      <c r="B2364">
        <v>-149.59812199999999</v>
      </c>
      <c r="C2364">
        <v>-17.021519999999999</v>
      </c>
      <c r="D2364">
        <v>151.9</v>
      </c>
      <c r="E2364">
        <v>30.1</v>
      </c>
      <c r="F2364">
        <v>9.34</v>
      </c>
    </row>
    <row r="2365" spans="1:6" x14ac:dyDescent="0.2">
      <c r="A2365">
        <v>736787.63370000001</v>
      </c>
      <c r="B2365">
        <v>-149.59811099999999</v>
      </c>
      <c r="C2365">
        <v>-17.021523999999999</v>
      </c>
      <c r="D2365">
        <v>151.9</v>
      </c>
      <c r="E2365">
        <v>30.1</v>
      </c>
      <c r="F2365">
        <v>9.34</v>
      </c>
    </row>
    <row r="2366" spans="1:6" x14ac:dyDescent="0.2">
      <c r="A2366">
        <v>736787.63370000001</v>
      </c>
      <c r="B2366">
        <v>-149.59809999999999</v>
      </c>
      <c r="C2366">
        <v>-17.021526999999999</v>
      </c>
      <c r="D2366">
        <v>151.9</v>
      </c>
      <c r="E2366">
        <v>30.1</v>
      </c>
      <c r="F2366">
        <v>9.34</v>
      </c>
    </row>
    <row r="2367" spans="1:6" x14ac:dyDescent="0.2">
      <c r="A2367">
        <v>736787.63370000001</v>
      </c>
      <c r="B2367">
        <v>-149.598086</v>
      </c>
      <c r="C2367">
        <v>-17.021538</v>
      </c>
      <c r="D2367">
        <v>151.9</v>
      </c>
      <c r="E2367">
        <v>30.1</v>
      </c>
      <c r="F2367">
        <v>9.34</v>
      </c>
    </row>
    <row r="2368" spans="1:6" x14ac:dyDescent="0.2">
      <c r="A2368">
        <v>736787.63370000001</v>
      </c>
      <c r="B2368">
        <v>-149.59807799999999</v>
      </c>
      <c r="C2368">
        <v>-17.021543000000001</v>
      </c>
      <c r="D2368">
        <v>151.9</v>
      </c>
      <c r="E2368">
        <v>30.1</v>
      </c>
      <c r="F2368">
        <v>9.34</v>
      </c>
    </row>
    <row r="2369" spans="1:6" x14ac:dyDescent="0.2">
      <c r="A2369">
        <v>736787.63379999995</v>
      </c>
      <c r="B2369">
        <v>-149.598061</v>
      </c>
      <c r="C2369">
        <v>-17.021543999999999</v>
      </c>
      <c r="D2369">
        <v>152.43199960571599</v>
      </c>
      <c r="E2369">
        <v>30.1</v>
      </c>
      <c r="F2369">
        <v>9.3799199763429293</v>
      </c>
    </row>
    <row r="2370" spans="1:6" x14ac:dyDescent="0.2">
      <c r="A2370">
        <v>736787.63379999995</v>
      </c>
      <c r="B2370">
        <v>-149.598051</v>
      </c>
      <c r="C2370">
        <v>-17.021547000000002</v>
      </c>
      <c r="D2370">
        <v>152.43199960571599</v>
      </c>
      <c r="E2370">
        <v>30.1</v>
      </c>
      <c r="F2370">
        <v>9.3799199763429293</v>
      </c>
    </row>
    <row r="2371" spans="1:6" x14ac:dyDescent="0.2">
      <c r="A2371">
        <v>736787.63379999995</v>
      </c>
      <c r="B2371">
        <v>-149.59804099999999</v>
      </c>
      <c r="C2371">
        <v>-17.021550999999999</v>
      </c>
      <c r="D2371">
        <v>152.43199960571599</v>
      </c>
      <c r="E2371">
        <v>30.1</v>
      </c>
      <c r="F2371">
        <v>9.3799199763429293</v>
      </c>
    </row>
    <row r="2372" spans="1:6" x14ac:dyDescent="0.2">
      <c r="A2372">
        <v>736787.63379999995</v>
      </c>
      <c r="B2372">
        <v>-149.59802999999999</v>
      </c>
      <c r="C2372">
        <v>-17.021553000000001</v>
      </c>
      <c r="D2372">
        <v>152.43199960571599</v>
      </c>
      <c r="E2372">
        <v>30.1</v>
      </c>
      <c r="F2372">
        <v>9.3799199763429293</v>
      </c>
    </row>
    <row r="2373" spans="1:6" x14ac:dyDescent="0.2">
      <c r="A2373">
        <v>736787.63379999995</v>
      </c>
      <c r="B2373">
        <v>-149.59801899999999</v>
      </c>
      <c r="C2373">
        <v>-17.021552</v>
      </c>
      <c r="D2373">
        <v>152.43199960571599</v>
      </c>
      <c r="E2373">
        <v>30.1</v>
      </c>
      <c r="F2373">
        <v>9.3799199763429293</v>
      </c>
    </row>
    <row r="2374" spans="1:6" x14ac:dyDescent="0.2">
      <c r="A2374">
        <v>736787.63379999995</v>
      </c>
      <c r="B2374">
        <v>-149.59800300000001</v>
      </c>
      <c r="C2374">
        <v>-17.021564999999999</v>
      </c>
      <c r="D2374">
        <v>152.43199960571599</v>
      </c>
      <c r="E2374">
        <v>30.1</v>
      </c>
      <c r="F2374">
        <v>9.3799199763429293</v>
      </c>
    </row>
    <row r="2375" spans="1:6" x14ac:dyDescent="0.2">
      <c r="A2375">
        <v>736787.63379999995</v>
      </c>
      <c r="B2375">
        <v>-149.59798799999999</v>
      </c>
      <c r="C2375">
        <v>-17.021571000000002</v>
      </c>
      <c r="D2375">
        <v>152.43199960571599</v>
      </c>
      <c r="E2375">
        <v>30.1</v>
      </c>
      <c r="F2375">
        <v>9.3799199763429293</v>
      </c>
    </row>
    <row r="2376" spans="1:6" x14ac:dyDescent="0.2">
      <c r="A2376">
        <v>736787.63390000002</v>
      </c>
      <c r="B2376">
        <v>-149.597973</v>
      </c>
      <c r="C2376">
        <v>-17.021570000000001</v>
      </c>
      <c r="D2376">
        <v>152.286399974251</v>
      </c>
      <c r="E2376">
        <v>30</v>
      </c>
      <c r="F2376">
        <v>9.3703999983906705</v>
      </c>
    </row>
    <row r="2377" spans="1:6" x14ac:dyDescent="0.2">
      <c r="A2377">
        <v>736787.63390000002</v>
      </c>
      <c r="B2377">
        <v>-149.597961</v>
      </c>
      <c r="C2377">
        <v>-17.021571999999999</v>
      </c>
      <c r="D2377">
        <v>152.286399974251</v>
      </c>
      <c r="E2377">
        <v>30</v>
      </c>
      <c r="F2377">
        <v>9.3703999983906705</v>
      </c>
    </row>
    <row r="2378" spans="1:6" x14ac:dyDescent="0.2">
      <c r="A2378">
        <v>736787.63390000002</v>
      </c>
      <c r="B2378">
        <v>-149.59795099999999</v>
      </c>
      <c r="C2378">
        <v>-17.021574000000001</v>
      </c>
      <c r="D2378">
        <v>152.286399974251</v>
      </c>
      <c r="E2378">
        <v>30</v>
      </c>
      <c r="F2378">
        <v>9.3703999983906705</v>
      </c>
    </row>
    <row r="2379" spans="1:6" x14ac:dyDescent="0.2">
      <c r="A2379">
        <v>736787.63390000002</v>
      </c>
      <c r="B2379">
        <v>-149.59793500000001</v>
      </c>
      <c r="C2379">
        <v>-17.021578000000002</v>
      </c>
      <c r="D2379">
        <v>152.286399974251</v>
      </c>
      <c r="E2379">
        <v>30</v>
      </c>
      <c r="F2379">
        <v>9.3703999983906705</v>
      </c>
    </row>
    <row r="2380" spans="1:6" x14ac:dyDescent="0.2">
      <c r="A2380">
        <v>736787.63390000002</v>
      </c>
      <c r="B2380">
        <v>-149.59791799999999</v>
      </c>
      <c r="C2380">
        <v>-17.021585000000002</v>
      </c>
      <c r="D2380">
        <v>152.286399974251</v>
      </c>
      <c r="E2380">
        <v>30</v>
      </c>
      <c r="F2380">
        <v>9.3703999983906705</v>
      </c>
    </row>
    <row r="2381" spans="1:6" x14ac:dyDescent="0.2">
      <c r="A2381">
        <v>736787.63390000002</v>
      </c>
      <c r="B2381">
        <v>-149.59790799999999</v>
      </c>
      <c r="C2381">
        <v>-17.021585999999999</v>
      </c>
      <c r="D2381">
        <v>152.286399974251</v>
      </c>
      <c r="E2381">
        <v>30</v>
      </c>
      <c r="F2381">
        <v>9.3703999983906705</v>
      </c>
    </row>
    <row r="2382" spans="1:6" x14ac:dyDescent="0.2">
      <c r="A2382">
        <v>736787.63399999996</v>
      </c>
      <c r="B2382">
        <v>-149.59789599999999</v>
      </c>
      <c r="C2382">
        <v>-17.021588999999999</v>
      </c>
      <c r="D2382">
        <v>151.30000000000001</v>
      </c>
      <c r="E2382">
        <v>30.011999927580401</v>
      </c>
      <c r="F2382">
        <v>9.31</v>
      </c>
    </row>
    <row r="2383" spans="1:6" x14ac:dyDescent="0.2">
      <c r="A2383">
        <v>736787.63399999996</v>
      </c>
      <c r="B2383">
        <v>-149.59788699999999</v>
      </c>
      <c r="C2383">
        <v>-17.021598999999998</v>
      </c>
      <c r="D2383">
        <v>151.30000000000001</v>
      </c>
      <c r="E2383">
        <v>30.011999927580401</v>
      </c>
      <c r="F2383">
        <v>9.31</v>
      </c>
    </row>
    <row r="2384" spans="1:6" x14ac:dyDescent="0.2">
      <c r="A2384">
        <v>736787.63399999996</v>
      </c>
      <c r="B2384">
        <v>-149.59787600000001</v>
      </c>
      <c r="C2384">
        <v>-17.021601</v>
      </c>
      <c r="D2384">
        <v>151.30000000000001</v>
      </c>
      <c r="E2384">
        <v>30.011999927580401</v>
      </c>
      <c r="F2384">
        <v>9.31</v>
      </c>
    </row>
    <row r="2385" spans="1:6" x14ac:dyDescent="0.2">
      <c r="A2385">
        <v>736787.63399999996</v>
      </c>
      <c r="B2385">
        <v>-149.59786399999999</v>
      </c>
      <c r="C2385">
        <v>-17.021602000000001</v>
      </c>
      <c r="D2385">
        <v>151.30000000000001</v>
      </c>
      <c r="E2385">
        <v>30.011999927580401</v>
      </c>
      <c r="F2385">
        <v>9.31</v>
      </c>
    </row>
    <row r="2386" spans="1:6" x14ac:dyDescent="0.2">
      <c r="A2386">
        <v>736787.63399999996</v>
      </c>
      <c r="B2386">
        <v>-149.597848</v>
      </c>
      <c r="C2386">
        <v>-17.021602999999999</v>
      </c>
      <c r="D2386">
        <v>151.30000000000001</v>
      </c>
      <c r="E2386">
        <v>30.011999927580401</v>
      </c>
      <c r="F2386">
        <v>9.31</v>
      </c>
    </row>
    <row r="2387" spans="1:6" x14ac:dyDescent="0.2">
      <c r="A2387">
        <v>736787.63399999996</v>
      </c>
      <c r="B2387">
        <v>-149.597838</v>
      </c>
      <c r="C2387">
        <v>-17.021604</v>
      </c>
      <c r="D2387">
        <v>151.30000000000001</v>
      </c>
      <c r="E2387">
        <v>30.011999927580401</v>
      </c>
      <c r="F2387">
        <v>9.31</v>
      </c>
    </row>
    <row r="2388" spans="1:6" x14ac:dyDescent="0.2">
      <c r="A2388">
        <v>736787.63399999996</v>
      </c>
      <c r="B2388">
        <v>-149.597827</v>
      </c>
      <c r="C2388">
        <v>-17.021604</v>
      </c>
      <c r="D2388">
        <v>151.30000000000001</v>
      </c>
      <c r="E2388">
        <v>30.011999927580401</v>
      </c>
      <c r="F2388">
        <v>9.31</v>
      </c>
    </row>
    <row r="2389" spans="1:6" x14ac:dyDescent="0.2">
      <c r="A2389">
        <v>736787.63410000002</v>
      </c>
      <c r="B2389">
        <v>-149.597812</v>
      </c>
      <c r="C2389">
        <v>-17.021604</v>
      </c>
      <c r="D2389">
        <v>151.38480010138801</v>
      </c>
      <c r="E2389">
        <v>30.1</v>
      </c>
      <c r="F2389">
        <v>9.31</v>
      </c>
    </row>
    <row r="2390" spans="1:6" x14ac:dyDescent="0.2">
      <c r="A2390">
        <v>736787.63410000002</v>
      </c>
      <c r="B2390">
        <v>-149.59779599999999</v>
      </c>
      <c r="C2390">
        <v>-17.021601</v>
      </c>
      <c r="D2390">
        <v>151.38480010138801</v>
      </c>
      <c r="E2390">
        <v>30.1</v>
      </c>
      <c r="F2390">
        <v>9.31</v>
      </c>
    </row>
    <row r="2391" spans="1:6" x14ac:dyDescent="0.2">
      <c r="A2391">
        <v>736787.63410000002</v>
      </c>
      <c r="B2391">
        <v>-149.59778</v>
      </c>
      <c r="C2391">
        <v>-17.021598000000001</v>
      </c>
      <c r="D2391">
        <v>151.38480010138801</v>
      </c>
      <c r="E2391">
        <v>30.1</v>
      </c>
      <c r="F2391">
        <v>9.31</v>
      </c>
    </row>
    <row r="2392" spans="1:6" x14ac:dyDescent="0.2">
      <c r="A2392">
        <v>736787.63410000002</v>
      </c>
      <c r="B2392">
        <v>-149.59775999999999</v>
      </c>
      <c r="C2392">
        <v>-17.02159</v>
      </c>
      <c r="D2392">
        <v>151.38480010138801</v>
      </c>
      <c r="E2392">
        <v>30.1</v>
      </c>
      <c r="F2392">
        <v>9.31</v>
      </c>
    </row>
    <row r="2393" spans="1:6" x14ac:dyDescent="0.2">
      <c r="A2393">
        <v>736787.63410000002</v>
      </c>
      <c r="B2393">
        <v>-149.59774400000001</v>
      </c>
      <c r="C2393">
        <v>-17.021581999999999</v>
      </c>
      <c r="D2393">
        <v>151.38480010138801</v>
      </c>
      <c r="E2393">
        <v>30.1</v>
      </c>
      <c r="F2393">
        <v>9.31</v>
      </c>
    </row>
    <row r="2394" spans="1:6" x14ac:dyDescent="0.2">
      <c r="A2394">
        <v>736787.63410000002</v>
      </c>
      <c r="B2394">
        <v>-149.597735</v>
      </c>
      <c r="C2394">
        <v>-17.021578999999999</v>
      </c>
      <c r="D2394">
        <v>151.38480010138801</v>
      </c>
      <c r="E2394">
        <v>30.1</v>
      </c>
      <c r="F2394">
        <v>9.31</v>
      </c>
    </row>
    <row r="2395" spans="1:6" x14ac:dyDescent="0.2">
      <c r="A2395">
        <v>736787.63410000002</v>
      </c>
      <c r="B2395">
        <v>-149.59772100000001</v>
      </c>
      <c r="C2395">
        <v>-17.021577000000001</v>
      </c>
      <c r="D2395">
        <v>151.38480010138801</v>
      </c>
      <c r="E2395">
        <v>30.1</v>
      </c>
      <c r="F2395">
        <v>9.31</v>
      </c>
    </row>
    <row r="2396" spans="1:6" x14ac:dyDescent="0.2">
      <c r="A2396">
        <v>736787.63419999997</v>
      </c>
      <c r="B2396">
        <v>-149.597703</v>
      </c>
      <c r="C2396">
        <v>-17.021571999999999</v>
      </c>
      <c r="D2396">
        <v>152.6</v>
      </c>
      <c r="E2396">
        <v>30.1</v>
      </c>
      <c r="F2396">
        <v>9.3800000000000008</v>
      </c>
    </row>
    <row r="2397" spans="1:6" x14ac:dyDescent="0.2">
      <c r="A2397">
        <v>736787.63419999997</v>
      </c>
      <c r="B2397">
        <v>-149.59769</v>
      </c>
      <c r="C2397">
        <v>-17.021566</v>
      </c>
      <c r="D2397">
        <v>152.6</v>
      </c>
      <c r="E2397">
        <v>30.1</v>
      </c>
      <c r="F2397">
        <v>9.3800000000000008</v>
      </c>
    </row>
    <row r="2398" spans="1:6" x14ac:dyDescent="0.2">
      <c r="A2398">
        <v>736787.63419999997</v>
      </c>
      <c r="B2398">
        <v>-149.59767600000001</v>
      </c>
      <c r="C2398">
        <v>-17.021567999999998</v>
      </c>
      <c r="D2398">
        <v>152.6</v>
      </c>
      <c r="E2398">
        <v>30.1</v>
      </c>
      <c r="F2398">
        <v>9.3800000000000008</v>
      </c>
    </row>
    <row r="2399" spans="1:6" x14ac:dyDescent="0.2">
      <c r="A2399">
        <v>736787.63419999997</v>
      </c>
      <c r="B2399">
        <v>-149.59766300000001</v>
      </c>
      <c r="C2399">
        <v>-17.021563</v>
      </c>
      <c r="D2399">
        <v>152.6</v>
      </c>
      <c r="E2399">
        <v>30.1</v>
      </c>
      <c r="F2399">
        <v>9.3800000000000008</v>
      </c>
    </row>
    <row r="2400" spans="1:6" x14ac:dyDescent="0.2">
      <c r="A2400">
        <v>736787.63419999997</v>
      </c>
      <c r="B2400">
        <v>-149.59764899999999</v>
      </c>
      <c r="C2400">
        <v>-17.021557000000001</v>
      </c>
      <c r="D2400">
        <v>152.6</v>
      </c>
      <c r="E2400">
        <v>30.1</v>
      </c>
      <c r="F2400">
        <v>9.3800000000000008</v>
      </c>
    </row>
    <row r="2401" spans="1:6" x14ac:dyDescent="0.2">
      <c r="A2401">
        <v>736787.63419999997</v>
      </c>
      <c r="B2401">
        <v>-149.597635</v>
      </c>
      <c r="C2401">
        <v>-17.021553999999998</v>
      </c>
      <c r="D2401">
        <v>152.6</v>
      </c>
      <c r="E2401">
        <v>30.1</v>
      </c>
      <c r="F2401">
        <v>9.3800000000000008</v>
      </c>
    </row>
    <row r="2402" spans="1:6" x14ac:dyDescent="0.2">
      <c r="A2402">
        <v>736787.63419999997</v>
      </c>
      <c r="B2402">
        <v>-149.597621</v>
      </c>
      <c r="C2402">
        <v>-17.021546000000001</v>
      </c>
      <c r="D2402">
        <v>152.6</v>
      </c>
      <c r="E2402">
        <v>30.1</v>
      </c>
      <c r="F2402">
        <v>9.3800000000000008</v>
      </c>
    </row>
    <row r="2403" spans="1:6" x14ac:dyDescent="0.2">
      <c r="A2403">
        <v>736787.63419999997</v>
      </c>
      <c r="B2403">
        <v>-149.59760499999999</v>
      </c>
      <c r="C2403">
        <v>-17.021538</v>
      </c>
      <c r="D2403">
        <v>152.6</v>
      </c>
      <c r="E2403">
        <v>30.1</v>
      </c>
      <c r="F2403">
        <v>9.3800000000000008</v>
      </c>
    </row>
    <row r="2404" spans="1:6" x14ac:dyDescent="0.2">
      <c r="A2404">
        <v>736787.63430000003</v>
      </c>
      <c r="B2404">
        <v>-149.59759500000001</v>
      </c>
      <c r="C2404">
        <v>-17.021533999999999</v>
      </c>
      <c r="D2404">
        <v>153.50400138401901</v>
      </c>
      <c r="E2404">
        <v>30.1</v>
      </c>
      <c r="F2404">
        <v>9.4282400830411408</v>
      </c>
    </row>
    <row r="2405" spans="1:6" x14ac:dyDescent="0.2">
      <c r="A2405">
        <v>736787.63430000003</v>
      </c>
      <c r="B2405">
        <v>-149.59758099999999</v>
      </c>
      <c r="C2405">
        <v>-17.021533000000002</v>
      </c>
      <c r="D2405">
        <v>153.50400138401901</v>
      </c>
      <c r="E2405">
        <v>30.1</v>
      </c>
      <c r="F2405">
        <v>9.4282400830411408</v>
      </c>
    </row>
    <row r="2406" spans="1:6" x14ac:dyDescent="0.2">
      <c r="A2406">
        <v>736787.63430000003</v>
      </c>
      <c r="B2406">
        <v>-149.597566</v>
      </c>
      <c r="C2406">
        <v>-17.021528</v>
      </c>
      <c r="D2406">
        <v>153.50400138401901</v>
      </c>
      <c r="E2406">
        <v>30.1</v>
      </c>
      <c r="F2406">
        <v>9.4282400830411408</v>
      </c>
    </row>
    <row r="2407" spans="1:6" x14ac:dyDescent="0.2">
      <c r="A2407">
        <v>736787.63430000003</v>
      </c>
      <c r="B2407">
        <v>-149.597555</v>
      </c>
      <c r="C2407">
        <v>-17.021519000000001</v>
      </c>
      <c r="D2407">
        <v>153.50400138401901</v>
      </c>
      <c r="E2407">
        <v>30.1</v>
      </c>
      <c r="F2407">
        <v>9.4282400830411408</v>
      </c>
    </row>
    <row r="2408" spans="1:6" x14ac:dyDescent="0.2">
      <c r="A2408">
        <v>736787.63430000003</v>
      </c>
      <c r="B2408">
        <v>-149.59754699999999</v>
      </c>
      <c r="C2408">
        <v>-17.021509999999999</v>
      </c>
      <c r="D2408">
        <v>153.50400138401901</v>
      </c>
      <c r="E2408">
        <v>30.1</v>
      </c>
      <c r="F2408">
        <v>9.4282400830411408</v>
      </c>
    </row>
    <row r="2409" spans="1:6" x14ac:dyDescent="0.2">
      <c r="A2409">
        <v>736787.63430000003</v>
      </c>
      <c r="B2409">
        <v>-149.59753900000001</v>
      </c>
      <c r="C2409">
        <v>-17.021502000000002</v>
      </c>
      <c r="D2409">
        <v>153.50400138401901</v>
      </c>
      <c r="E2409">
        <v>30.1</v>
      </c>
      <c r="F2409">
        <v>9.4282400830411408</v>
      </c>
    </row>
    <row r="2410" spans="1:6" x14ac:dyDescent="0.2">
      <c r="A2410">
        <v>736787.63430000003</v>
      </c>
      <c r="B2410">
        <v>-149.59752800000001</v>
      </c>
      <c r="C2410">
        <v>-17.021495000000002</v>
      </c>
      <c r="D2410">
        <v>153.50400138401901</v>
      </c>
      <c r="E2410">
        <v>30.1</v>
      </c>
      <c r="F2410">
        <v>9.4282400830411408</v>
      </c>
    </row>
    <row r="2411" spans="1:6" x14ac:dyDescent="0.2">
      <c r="A2411">
        <v>736787.63439999998</v>
      </c>
      <c r="B2411">
        <v>-149.59751600000001</v>
      </c>
      <c r="C2411">
        <v>-17.021481000000001</v>
      </c>
      <c r="D2411">
        <v>156.4</v>
      </c>
      <c r="E2411">
        <v>30.2</v>
      </c>
      <c r="F2411">
        <v>9.5996800059545002</v>
      </c>
    </row>
    <row r="2412" spans="1:6" x14ac:dyDescent="0.2">
      <c r="A2412">
        <v>736787.63439999998</v>
      </c>
      <c r="B2412">
        <v>-149.597498</v>
      </c>
      <c r="C2412">
        <v>-17.021474000000001</v>
      </c>
      <c r="D2412">
        <v>156.4</v>
      </c>
      <c r="E2412">
        <v>30.2</v>
      </c>
      <c r="F2412">
        <v>9.5996800059545002</v>
      </c>
    </row>
    <row r="2413" spans="1:6" x14ac:dyDescent="0.2">
      <c r="A2413">
        <v>736787.63439999998</v>
      </c>
      <c r="B2413">
        <v>-149.59748500000001</v>
      </c>
      <c r="C2413">
        <v>-17.021471999999999</v>
      </c>
      <c r="D2413">
        <v>156.4</v>
      </c>
      <c r="E2413">
        <v>30.2</v>
      </c>
      <c r="F2413">
        <v>9.5996800059545002</v>
      </c>
    </row>
    <row r="2414" spans="1:6" x14ac:dyDescent="0.2">
      <c r="A2414">
        <v>736787.63439999998</v>
      </c>
      <c r="B2414">
        <v>-149.597475</v>
      </c>
      <c r="C2414">
        <v>-17.021469</v>
      </c>
      <c r="D2414">
        <v>156.4</v>
      </c>
      <c r="E2414">
        <v>30.2</v>
      </c>
      <c r="F2414">
        <v>9.5996800059545002</v>
      </c>
    </row>
    <row r="2415" spans="1:6" x14ac:dyDescent="0.2">
      <c r="A2415">
        <v>736787.63439999998</v>
      </c>
      <c r="B2415">
        <v>-149.59746200000001</v>
      </c>
      <c r="C2415">
        <v>-17.021467999999999</v>
      </c>
      <c r="D2415">
        <v>156.4</v>
      </c>
      <c r="E2415">
        <v>30.2</v>
      </c>
      <c r="F2415">
        <v>9.5996800059545002</v>
      </c>
    </row>
    <row r="2416" spans="1:6" x14ac:dyDescent="0.2">
      <c r="A2416">
        <v>736787.63439999998</v>
      </c>
      <c r="B2416">
        <v>-149.59744499999999</v>
      </c>
      <c r="C2416">
        <v>-17.021470999999998</v>
      </c>
      <c r="D2416">
        <v>156.4</v>
      </c>
      <c r="E2416">
        <v>30.2</v>
      </c>
      <c r="F2416">
        <v>9.5996800059545002</v>
      </c>
    </row>
    <row r="2417" spans="1:6" x14ac:dyDescent="0.2">
      <c r="A2417">
        <v>736787.63439999998</v>
      </c>
      <c r="B2417">
        <v>-149.597431</v>
      </c>
      <c r="C2417">
        <v>-17.021473</v>
      </c>
      <c r="D2417">
        <v>156.4</v>
      </c>
      <c r="E2417">
        <v>30.2</v>
      </c>
      <c r="F2417">
        <v>9.5996800059545002</v>
      </c>
    </row>
    <row r="2418" spans="1:6" x14ac:dyDescent="0.2">
      <c r="A2418">
        <v>736787.63439999998</v>
      </c>
      <c r="B2418">
        <v>-149.59741299999999</v>
      </c>
      <c r="C2418">
        <v>-17.021474000000001</v>
      </c>
      <c r="D2418">
        <v>156.4</v>
      </c>
      <c r="E2418">
        <v>30.2</v>
      </c>
      <c r="F2418">
        <v>9.5996800059545002</v>
      </c>
    </row>
    <row r="2419" spans="1:6" x14ac:dyDescent="0.2">
      <c r="A2419">
        <v>736787.63450000004</v>
      </c>
      <c r="B2419">
        <v>-149.59739500000001</v>
      </c>
      <c r="C2419">
        <v>-17.021477999999998</v>
      </c>
      <c r="D2419">
        <v>157.23600106215599</v>
      </c>
      <c r="E2419">
        <v>30.2</v>
      </c>
      <c r="F2419">
        <v>9.64320006759176</v>
      </c>
    </row>
    <row r="2420" spans="1:6" x14ac:dyDescent="0.2">
      <c r="A2420">
        <v>736787.63450000004</v>
      </c>
      <c r="B2420">
        <v>-149.59736899999999</v>
      </c>
      <c r="C2420">
        <v>-17.021485999999999</v>
      </c>
      <c r="D2420">
        <v>157.23600106215599</v>
      </c>
      <c r="E2420">
        <v>30.2</v>
      </c>
      <c r="F2420">
        <v>9.64320006759176</v>
      </c>
    </row>
    <row r="2421" spans="1:6" x14ac:dyDescent="0.2">
      <c r="A2421">
        <v>736787.63450000004</v>
      </c>
      <c r="B2421">
        <v>-149.59735599999999</v>
      </c>
      <c r="C2421">
        <v>-17.021491999999999</v>
      </c>
      <c r="D2421">
        <v>157.23600106215599</v>
      </c>
      <c r="E2421">
        <v>30.2</v>
      </c>
      <c r="F2421">
        <v>9.64320006759176</v>
      </c>
    </row>
    <row r="2422" spans="1:6" x14ac:dyDescent="0.2">
      <c r="A2422">
        <v>736787.63450000004</v>
      </c>
      <c r="B2422">
        <v>-149.59734700000001</v>
      </c>
      <c r="C2422">
        <v>-17.021497</v>
      </c>
      <c r="D2422">
        <v>157.23600106215599</v>
      </c>
      <c r="E2422">
        <v>30.2</v>
      </c>
      <c r="F2422">
        <v>9.64320006759176</v>
      </c>
    </row>
    <row r="2423" spans="1:6" x14ac:dyDescent="0.2">
      <c r="A2423">
        <v>736787.63450000004</v>
      </c>
      <c r="B2423">
        <v>-149.59733600000001</v>
      </c>
      <c r="C2423">
        <v>-17.0215</v>
      </c>
      <c r="D2423">
        <v>157.23600106215599</v>
      </c>
      <c r="E2423">
        <v>30.2</v>
      </c>
      <c r="F2423">
        <v>9.64320006759176</v>
      </c>
    </row>
    <row r="2424" spans="1:6" x14ac:dyDescent="0.2">
      <c r="A2424">
        <v>736787.63450000004</v>
      </c>
      <c r="B2424">
        <v>-149.59732199999999</v>
      </c>
      <c r="C2424">
        <v>-17.021502000000002</v>
      </c>
      <c r="D2424">
        <v>157.23600106215599</v>
      </c>
      <c r="E2424">
        <v>30.2</v>
      </c>
      <c r="F2424">
        <v>9.64320006759176</v>
      </c>
    </row>
    <row r="2425" spans="1:6" x14ac:dyDescent="0.2">
      <c r="A2425">
        <v>736787.63450000004</v>
      </c>
      <c r="B2425">
        <v>-149.597309</v>
      </c>
      <c r="C2425">
        <v>-17.021507</v>
      </c>
      <c r="D2425">
        <v>157.23600106215599</v>
      </c>
      <c r="E2425">
        <v>30.2</v>
      </c>
      <c r="F2425">
        <v>9.64320006759176</v>
      </c>
    </row>
    <row r="2426" spans="1:6" x14ac:dyDescent="0.2">
      <c r="A2426">
        <v>736787.63450000004</v>
      </c>
      <c r="B2426">
        <v>-149.59729799999999</v>
      </c>
      <c r="C2426">
        <v>-17.021509999999999</v>
      </c>
      <c r="D2426">
        <v>157.23600106215599</v>
      </c>
      <c r="E2426">
        <v>30.2</v>
      </c>
      <c r="F2426">
        <v>9.64320006759176</v>
      </c>
    </row>
    <row r="2427" spans="1:6" x14ac:dyDescent="0.2">
      <c r="A2427">
        <v>736787.63459999999</v>
      </c>
      <c r="B2427">
        <v>-149.597283</v>
      </c>
      <c r="C2427">
        <v>-17.021512000000001</v>
      </c>
      <c r="D2427">
        <v>158.80000000000001</v>
      </c>
      <c r="E2427">
        <v>30.3</v>
      </c>
      <c r="F2427">
        <v>9.7251200053107691</v>
      </c>
    </row>
    <row r="2428" spans="1:6" x14ac:dyDescent="0.2">
      <c r="A2428">
        <v>736787.63459999999</v>
      </c>
      <c r="B2428">
        <v>-149.59727000000001</v>
      </c>
      <c r="C2428">
        <v>-17.021514</v>
      </c>
      <c r="D2428">
        <v>158.80000000000001</v>
      </c>
      <c r="E2428">
        <v>30.3</v>
      </c>
      <c r="F2428">
        <v>9.7251200053107691</v>
      </c>
    </row>
    <row r="2429" spans="1:6" x14ac:dyDescent="0.2">
      <c r="A2429">
        <v>736787.63459999999</v>
      </c>
      <c r="B2429">
        <v>-149.59725800000001</v>
      </c>
      <c r="C2429">
        <v>-17.021515999999998</v>
      </c>
      <c r="D2429">
        <v>158.80000000000001</v>
      </c>
      <c r="E2429">
        <v>30.3</v>
      </c>
      <c r="F2429">
        <v>9.7251200053107691</v>
      </c>
    </row>
    <row r="2430" spans="1:6" x14ac:dyDescent="0.2">
      <c r="A2430">
        <v>736787.63459999999</v>
      </c>
      <c r="B2430">
        <v>-149.59724299999999</v>
      </c>
      <c r="C2430">
        <v>-17.021515999999998</v>
      </c>
      <c r="D2430">
        <v>158.80000000000001</v>
      </c>
      <c r="E2430">
        <v>30.3</v>
      </c>
      <c r="F2430">
        <v>9.7251200053107691</v>
      </c>
    </row>
    <row r="2431" spans="1:6" x14ac:dyDescent="0.2">
      <c r="A2431">
        <v>736787.63459999999</v>
      </c>
      <c r="B2431">
        <v>-149.59722600000001</v>
      </c>
      <c r="C2431">
        <v>-17.021522000000001</v>
      </c>
      <c r="D2431">
        <v>158.80000000000001</v>
      </c>
      <c r="E2431">
        <v>30.3</v>
      </c>
      <c r="F2431">
        <v>9.7251200053107691</v>
      </c>
    </row>
    <row r="2432" spans="1:6" x14ac:dyDescent="0.2">
      <c r="A2432">
        <v>736787.63459999999</v>
      </c>
      <c r="B2432">
        <v>-149.59721300000001</v>
      </c>
      <c r="C2432">
        <v>-17.021526999999999</v>
      </c>
      <c r="D2432">
        <v>158.80000000000001</v>
      </c>
      <c r="E2432">
        <v>30.3</v>
      </c>
      <c r="F2432">
        <v>9.7251200053107691</v>
      </c>
    </row>
    <row r="2433" spans="1:6" x14ac:dyDescent="0.2">
      <c r="A2433">
        <v>736787.63459999999</v>
      </c>
      <c r="B2433">
        <v>-149.59720200000001</v>
      </c>
      <c r="C2433">
        <v>-17.021529000000001</v>
      </c>
      <c r="D2433">
        <v>158.80000000000001</v>
      </c>
      <c r="E2433">
        <v>30.3</v>
      </c>
      <c r="F2433">
        <v>9.7251200053107691</v>
      </c>
    </row>
    <row r="2434" spans="1:6" x14ac:dyDescent="0.2">
      <c r="A2434">
        <v>736787.63470000005</v>
      </c>
      <c r="B2434">
        <v>-149.59718899999999</v>
      </c>
      <c r="C2434">
        <v>-17.021526999999999</v>
      </c>
      <c r="D2434">
        <v>160.977605445954</v>
      </c>
      <c r="E2434">
        <v>30.343200302553001</v>
      </c>
      <c r="F2434">
        <v>9.85320030255299</v>
      </c>
    </row>
    <row r="2435" spans="1:6" x14ac:dyDescent="0.2">
      <c r="A2435">
        <v>736787.63470000005</v>
      </c>
      <c r="B2435">
        <v>-149.59717499999999</v>
      </c>
      <c r="C2435">
        <v>-17.021529999999998</v>
      </c>
      <c r="D2435">
        <v>160.977605445954</v>
      </c>
      <c r="E2435">
        <v>30.343200302553001</v>
      </c>
      <c r="F2435">
        <v>9.85320030255299</v>
      </c>
    </row>
    <row r="2436" spans="1:6" x14ac:dyDescent="0.2">
      <c r="A2436">
        <v>736787.63470000005</v>
      </c>
      <c r="B2436">
        <v>-149.597161</v>
      </c>
      <c r="C2436">
        <v>-17.021533000000002</v>
      </c>
      <c r="D2436">
        <v>160.977605445954</v>
      </c>
      <c r="E2436">
        <v>30.343200302553001</v>
      </c>
      <c r="F2436">
        <v>9.85320030255299</v>
      </c>
    </row>
    <row r="2437" spans="1:6" x14ac:dyDescent="0.2">
      <c r="A2437">
        <v>736787.63470000005</v>
      </c>
      <c r="B2437">
        <v>-149.597149</v>
      </c>
      <c r="C2437">
        <v>-17.021533999999999</v>
      </c>
      <c r="D2437">
        <v>160.977605445954</v>
      </c>
      <c r="E2437">
        <v>30.343200302553001</v>
      </c>
      <c r="F2437">
        <v>9.85320030255299</v>
      </c>
    </row>
    <row r="2438" spans="1:6" x14ac:dyDescent="0.2">
      <c r="A2438">
        <v>736787.63470000005</v>
      </c>
      <c r="B2438">
        <v>-149.597137</v>
      </c>
      <c r="C2438">
        <v>-17.021540999999999</v>
      </c>
      <c r="D2438">
        <v>160.977605445954</v>
      </c>
      <c r="E2438">
        <v>30.343200302553001</v>
      </c>
      <c r="F2438">
        <v>9.85320030255299</v>
      </c>
    </row>
    <row r="2439" spans="1:6" x14ac:dyDescent="0.2">
      <c r="A2439">
        <v>736787.63470000005</v>
      </c>
      <c r="B2439">
        <v>-149.59712200000001</v>
      </c>
      <c r="C2439">
        <v>-17.021545</v>
      </c>
      <c r="D2439">
        <v>160.977605445954</v>
      </c>
      <c r="E2439">
        <v>30.343200302553001</v>
      </c>
      <c r="F2439">
        <v>9.85320030255299</v>
      </c>
    </row>
    <row r="2440" spans="1:6" x14ac:dyDescent="0.2">
      <c r="A2440">
        <v>736787.63470000005</v>
      </c>
      <c r="B2440">
        <v>-149.59711100000001</v>
      </c>
      <c r="C2440">
        <v>-17.021546000000001</v>
      </c>
      <c r="D2440">
        <v>160.977605445954</v>
      </c>
      <c r="E2440">
        <v>30.343200302553001</v>
      </c>
      <c r="F2440">
        <v>9.85320030255299</v>
      </c>
    </row>
    <row r="2441" spans="1:6" x14ac:dyDescent="0.2">
      <c r="A2441">
        <v>736787.63470000005</v>
      </c>
      <c r="B2441">
        <v>-149.59710100000001</v>
      </c>
      <c r="C2441">
        <v>-17.021550999999999</v>
      </c>
      <c r="D2441">
        <v>160.977605445954</v>
      </c>
      <c r="E2441">
        <v>30.343200302553001</v>
      </c>
      <c r="F2441">
        <v>9.85320030255299</v>
      </c>
    </row>
    <row r="2442" spans="1:6" x14ac:dyDescent="0.2">
      <c r="A2442">
        <v>736787.63470000005</v>
      </c>
      <c r="B2442">
        <v>-149.59708599999999</v>
      </c>
      <c r="C2442">
        <v>-17.021560999999998</v>
      </c>
      <c r="D2442">
        <v>160.977605445954</v>
      </c>
      <c r="E2442">
        <v>30.343200302553001</v>
      </c>
      <c r="F2442">
        <v>9.85320030255299</v>
      </c>
    </row>
    <row r="2443" spans="1:6" x14ac:dyDescent="0.2">
      <c r="A2443">
        <v>736787.6348</v>
      </c>
      <c r="B2443">
        <v>-149.59707</v>
      </c>
      <c r="C2443">
        <v>-17.021569</v>
      </c>
      <c r="D2443">
        <v>163.89439995333001</v>
      </c>
      <c r="E2443">
        <v>30.783199859988802</v>
      </c>
      <c r="F2443">
        <v>9.9628000233352001</v>
      </c>
    </row>
    <row r="2444" spans="1:6" x14ac:dyDescent="0.2">
      <c r="A2444">
        <v>736787.6348</v>
      </c>
      <c r="B2444">
        <v>-149.59706</v>
      </c>
      <c r="C2444">
        <v>-17.021573</v>
      </c>
      <c r="D2444">
        <v>163.89439995333001</v>
      </c>
      <c r="E2444">
        <v>30.783199859988802</v>
      </c>
      <c r="F2444">
        <v>9.9628000233352001</v>
      </c>
    </row>
    <row r="2445" spans="1:6" x14ac:dyDescent="0.2">
      <c r="A2445">
        <v>736787.6348</v>
      </c>
      <c r="B2445">
        <v>-149.59705</v>
      </c>
      <c r="C2445">
        <v>-17.021584000000001</v>
      </c>
      <c r="D2445">
        <v>163.89439995333001</v>
      </c>
      <c r="E2445">
        <v>30.783199859988802</v>
      </c>
      <c r="F2445">
        <v>9.9628000233352001</v>
      </c>
    </row>
    <row r="2446" spans="1:6" x14ac:dyDescent="0.2">
      <c r="A2446">
        <v>736787.6348</v>
      </c>
      <c r="B2446">
        <v>-149.59703400000001</v>
      </c>
      <c r="C2446">
        <v>-17.021592999999999</v>
      </c>
      <c r="D2446">
        <v>163.89439995333001</v>
      </c>
      <c r="E2446">
        <v>30.783199859988802</v>
      </c>
      <c r="F2446">
        <v>9.9628000233352001</v>
      </c>
    </row>
    <row r="2447" spans="1:6" x14ac:dyDescent="0.2">
      <c r="A2447">
        <v>736787.6348</v>
      </c>
      <c r="B2447">
        <v>-149.597025</v>
      </c>
      <c r="C2447">
        <v>-17.021597</v>
      </c>
      <c r="D2447">
        <v>163.89439995333001</v>
      </c>
      <c r="E2447">
        <v>30.783199859988802</v>
      </c>
      <c r="F2447">
        <v>9.9628000233352001</v>
      </c>
    </row>
    <row r="2448" spans="1:6" x14ac:dyDescent="0.2">
      <c r="A2448">
        <v>736787.6348</v>
      </c>
      <c r="B2448">
        <v>-149.597014</v>
      </c>
      <c r="C2448">
        <v>-17.021606999999999</v>
      </c>
      <c r="D2448">
        <v>163.89439995333001</v>
      </c>
      <c r="E2448">
        <v>30.783199859988802</v>
      </c>
      <c r="F2448">
        <v>9.9628000233352001</v>
      </c>
    </row>
    <row r="2449" spans="1:6" x14ac:dyDescent="0.2">
      <c r="A2449">
        <v>736787.6348</v>
      </c>
      <c r="B2449">
        <v>-149.596994</v>
      </c>
      <c r="C2449">
        <v>-17.021616000000002</v>
      </c>
      <c r="D2449">
        <v>163.89439995333001</v>
      </c>
      <c r="E2449">
        <v>30.783199859988802</v>
      </c>
      <c r="F2449">
        <v>9.9628000233352001</v>
      </c>
    </row>
    <row r="2450" spans="1:6" x14ac:dyDescent="0.2">
      <c r="A2450">
        <v>736787.6348</v>
      </c>
      <c r="B2450">
        <v>-149.596981</v>
      </c>
      <c r="C2450">
        <v>-17.021618</v>
      </c>
      <c r="D2450">
        <v>163.89439995333001</v>
      </c>
      <c r="E2450">
        <v>30.783199859988802</v>
      </c>
      <c r="F2450">
        <v>9.9628000233352001</v>
      </c>
    </row>
    <row r="2451" spans="1:6" x14ac:dyDescent="0.2">
      <c r="A2451">
        <v>736787.6348</v>
      </c>
      <c r="B2451">
        <v>-149.596971</v>
      </c>
      <c r="C2451">
        <v>-17.021626999999999</v>
      </c>
      <c r="D2451">
        <v>163.89439995333001</v>
      </c>
      <c r="E2451">
        <v>30.783199859988802</v>
      </c>
      <c r="F2451">
        <v>9.9628000233352001</v>
      </c>
    </row>
    <row r="2452" spans="1:6" x14ac:dyDescent="0.2">
      <c r="A2452">
        <v>736787.63489999995</v>
      </c>
      <c r="B2452">
        <v>-149.59695600000001</v>
      </c>
      <c r="C2452">
        <v>-17.021632</v>
      </c>
      <c r="D2452">
        <v>176.47279678456999</v>
      </c>
      <c r="E2452">
        <v>30.867199956548198</v>
      </c>
      <c r="F2452">
        <v>10.712239817502599</v>
      </c>
    </row>
    <row r="2453" spans="1:6" x14ac:dyDescent="0.2">
      <c r="A2453">
        <v>736787.63489999995</v>
      </c>
      <c r="B2453">
        <v>-149.59693999999999</v>
      </c>
      <c r="C2453">
        <v>-17.021633999999999</v>
      </c>
      <c r="D2453">
        <v>176.47279678456999</v>
      </c>
      <c r="E2453">
        <v>30.867199956548198</v>
      </c>
      <c r="F2453">
        <v>10.712239817502599</v>
      </c>
    </row>
    <row r="2454" spans="1:6" x14ac:dyDescent="0.2">
      <c r="A2454">
        <v>736787.63489999995</v>
      </c>
      <c r="B2454">
        <v>-149.596924</v>
      </c>
      <c r="C2454">
        <v>-17.021643000000001</v>
      </c>
      <c r="D2454">
        <v>176.47279678456999</v>
      </c>
      <c r="E2454">
        <v>30.867199956548198</v>
      </c>
      <c r="F2454">
        <v>10.712239817502599</v>
      </c>
    </row>
    <row r="2455" spans="1:6" x14ac:dyDescent="0.2">
      <c r="A2455">
        <v>736787.63489999995</v>
      </c>
      <c r="B2455">
        <v>-149.59690900000001</v>
      </c>
      <c r="C2455">
        <v>-17.021647000000002</v>
      </c>
      <c r="D2455">
        <v>176.47279678456999</v>
      </c>
      <c r="E2455">
        <v>30.867199956548198</v>
      </c>
      <c r="F2455">
        <v>10.712239817502599</v>
      </c>
    </row>
    <row r="2456" spans="1:6" x14ac:dyDescent="0.2">
      <c r="A2456">
        <v>736787.63489999995</v>
      </c>
      <c r="B2456">
        <v>-149.59689399999999</v>
      </c>
      <c r="C2456">
        <v>-17.021647999999999</v>
      </c>
      <c r="D2456">
        <v>176.47279678456999</v>
      </c>
      <c r="E2456">
        <v>30.867199956548198</v>
      </c>
      <c r="F2456">
        <v>10.712239817502599</v>
      </c>
    </row>
    <row r="2457" spans="1:6" x14ac:dyDescent="0.2">
      <c r="A2457">
        <v>736787.63489999995</v>
      </c>
      <c r="B2457">
        <v>-149.59687500000001</v>
      </c>
      <c r="C2457">
        <v>-17.021660000000001</v>
      </c>
      <c r="D2457">
        <v>176.47279678456999</v>
      </c>
      <c r="E2457">
        <v>30.867199956548198</v>
      </c>
      <c r="F2457">
        <v>10.712239817502599</v>
      </c>
    </row>
    <row r="2458" spans="1:6" x14ac:dyDescent="0.2">
      <c r="A2458">
        <v>736787.63489999995</v>
      </c>
      <c r="B2458">
        <v>-149.59686300000001</v>
      </c>
      <c r="C2458">
        <v>-17.021667000000001</v>
      </c>
      <c r="D2458">
        <v>176.47279678456999</v>
      </c>
      <c r="E2458">
        <v>30.867199956548198</v>
      </c>
      <c r="F2458">
        <v>10.712239817502599</v>
      </c>
    </row>
    <row r="2459" spans="1:6" x14ac:dyDescent="0.2">
      <c r="A2459">
        <v>736787.63489999995</v>
      </c>
      <c r="B2459">
        <v>-149.596847</v>
      </c>
      <c r="C2459">
        <v>-17.02167</v>
      </c>
      <c r="D2459">
        <v>176.47279678456999</v>
      </c>
      <c r="E2459">
        <v>30.867199956548198</v>
      </c>
      <c r="F2459">
        <v>10.712239817502599</v>
      </c>
    </row>
    <row r="2460" spans="1:6" x14ac:dyDescent="0.2">
      <c r="A2460">
        <v>736787.63500000001</v>
      </c>
      <c r="B2460">
        <v>-149.59682900000001</v>
      </c>
      <c r="C2460">
        <v>-17.021674999999998</v>
      </c>
      <c r="D2460">
        <v>181.93999694228401</v>
      </c>
      <c r="E2460">
        <v>31.1</v>
      </c>
      <c r="F2460">
        <v>11.003999814927701</v>
      </c>
    </row>
    <row r="2461" spans="1:6" x14ac:dyDescent="0.2">
      <c r="A2461">
        <v>736787.63500000001</v>
      </c>
      <c r="B2461">
        <v>-149.59681800000001</v>
      </c>
      <c r="C2461">
        <v>-17.021674999999998</v>
      </c>
      <c r="D2461">
        <v>181.93999694228401</v>
      </c>
      <c r="E2461">
        <v>31.1</v>
      </c>
      <c r="F2461">
        <v>11.003999814927701</v>
      </c>
    </row>
    <row r="2462" spans="1:6" x14ac:dyDescent="0.2">
      <c r="A2462">
        <v>736787.63500000001</v>
      </c>
      <c r="B2462">
        <v>-149.59680599999999</v>
      </c>
      <c r="C2462">
        <v>-17.021674999999998</v>
      </c>
      <c r="D2462">
        <v>181.93999694228401</v>
      </c>
      <c r="E2462">
        <v>31.1</v>
      </c>
      <c r="F2462">
        <v>11.003999814927701</v>
      </c>
    </row>
    <row r="2463" spans="1:6" x14ac:dyDescent="0.2">
      <c r="A2463">
        <v>736787.63500000001</v>
      </c>
      <c r="B2463">
        <v>-149.59679299999999</v>
      </c>
      <c r="C2463">
        <v>-17.021678999999999</v>
      </c>
      <c r="D2463">
        <v>181.93999694228401</v>
      </c>
      <c r="E2463">
        <v>31.1</v>
      </c>
      <c r="F2463">
        <v>11.003999814927701</v>
      </c>
    </row>
    <row r="2464" spans="1:6" x14ac:dyDescent="0.2">
      <c r="A2464">
        <v>736787.63500000001</v>
      </c>
      <c r="B2464">
        <v>-149.59678299999999</v>
      </c>
      <c r="C2464">
        <v>-17.021678999999999</v>
      </c>
      <c r="D2464">
        <v>181.93999694228401</v>
      </c>
      <c r="E2464">
        <v>31.1</v>
      </c>
      <c r="F2464">
        <v>11.003999814927701</v>
      </c>
    </row>
    <row r="2465" spans="1:6" x14ac:dyDescent="0.2">
      <c r="A2465">
        <v>736787.63500000001</v>
      </c>
      <c r="B2465">
        <v>-149.59677199999999</v>
      </c>
      <c r="C2465">
        <v>-17.02168</v>
      </c>
      <c r="D2465">
        <v>181.93999694228401</v>
      </c>
      <c r="E2465">
        <v>31.1</v>
      </c>
      <c r="F2465">
        <v>11.003999814927701</v>
      </c>
    </row>
    <row r="2466" spans="1:6" x14ac:dyDescent="0.2">
      <c r="A2466">
        <v>736787.63500000001</v>
      </c>
      <c r="B2466">
        <v>-149.596756</v>
      </c>
      <c r="C2466">
        <v>-17.021678000000001</v>
      </c>
      <c r="D2466">
        <v>181.93999694228401</v>
      </c>
      <c r="E2466">
        <v>31.1</v>
      </c>
      <c r="F2466">
        <v>11.003999814927701</v>
      </c>
    </row>
    <row r="2467" spans="1:6" x14ac:dyDescent="0.2">
      <c r="A2467">
        <v>736787.63500000001</v>
      </c>
      <c r="B2467">
        <v>-149.596743</v>
      </c>
      <c r="C2467">
        <v>-17.02168</v>
      </c>
      <c r="D2467">
        <v>181.93999694228401</v>
      </c>
      <c r="E2467">
        <v>31.1</v>
      </c>
      <c r="F2467">
        <v>11.003999814927701</v>
      </c>
    </row>
    <row r="2468" spans="1:6" x14ac:dyDescent="0.2">
      <c r="A2468">
        <v>736787.63500000001</v>
      </c>
      <c r="B2468">
        <v>-149.59672900000001</v>
      </c>
      <c r="C2468">
        <v>-17.021682999999999</v>
      </c>
      <c r="D2468">
        <v>181.93999694228401</v>
      </c>
      <c r="E2468">
        <v>31.1</v>
      </c>
      <c r="F2468">
        <v>11.003999814927701</v>
      </c>
    </row>
    <row r="2469" spans="1:6" x14ac:dyDescent="0.2">
      <c r="A2469">
        <v>736787.63509999996</v>
      </c>
      <c r="B2469">
        <v>-149.596711</v>
      </c>
      <c r="C2469">
        <v>-17.021685999999999</v>
      </c>
      <c r="D2469">
        <v>195.543996113482</v>
      </c>
      <c r="E2469">
        <v>31.4</v>
      </c>
      <c r="F2469">
        <v>11.7806397668089</v>
      </c>
    </row>
    <row r="2470" spans="1:6" x14ac:dyDescent="0.2">
      <c r="A2470">
        <v>736787.63509999996</v>
      </c>
      <c r="B2470">
        <v>-149.59669400000001</v>
      </c>
      <c r="C2470">
        <v>-17.021688000000001</v>
      </c>
      <c r="D2470">
        <v>195.543996113482</v>
      </c>
      <c r="E2470">
        <v>31.4</v>
      </c>
      <c r="F2470">
        <v>11.7806397668089</v>
      </c>
    </row>
    <row r="2471" spans="1:6" x14ac:dyDescent="0.2">
      <c r="A2471">
        <v>736787.63509999996</v>
      </c>
      <c r="B2471">
        <v>-149.59667999999999</v>
      </c>
      <c r="C2471">
        <v>-17.021691000000001</v>
      </c>
      <c r="D2471">
        <v>195.543996113482</v>
      </c>
      <c r="E2471">
        <v>31.4</v>
      </c>
      <c r="F2471">
        <v>11.7806397668089</v>
      </c>
    </row>
    <row r="2472" spans="1:6" x14ac:dyDescent="0.2">
      <c r="A2472">
        <v>736787.63509999996</v>
      </c>
      <c r="B2472">
        <v>-149.59666799999999</v>
      </c>
      <c r="C2472">
        <v>-17.021695000000001</v>
      </c>
      <c r="D2472">
        <v>195.543996113482</v>
      </c>
      <c r="E2472">
        <v>31.4</v>
      </c>
      <c r="F2472">
        <v>11.7806397668089</v>
      </c>
    </row>
    <row r="2473" spans="1:6" x14ac:dyDescent="0.2">
      <c r="A2473">
        <v>736787.63509999996</v>
      </c>
      <c r="B2473">
        <v>-149.59665699999999</v>
      </c>
      <c r="C2473">
        <v>-17.021699999999999</v>
      </c>
      <c r="D2473">
        <v>195.543996113482</v>
      </c>
      <c r="E2473">
        <v>31.4</v>
      </c>
      <c r="F2473">
        <v>11.7806397668089</v>
      </c>
    </row>
    <row r="2474" spans="1:6" x14ac:dyDescent="0.2">
      <c r="A2474">
        <v>736787.63509999996</v>
      </c>
      <c r="B2474">
        <v>-149.596645</v>
      </c>
      <c r="C2474">
        <v>-17.021705999999998</v>
      </c>
      <c r="D2474">
        <v>195.543996113482</v>
      </c>
      <c r="E2474">
        <v>31.4</v>
      </c>
      <c r="F2474">
        <v>11.7806397668089</v>
      </c>
    </row>
    <row r="2475" spans="1:6" x14ac:dyDescent="0.2">
      <c r="A2475">
        <v>736787.63509999996</v>
      </c>
      <c r="B2475">
        <v>-149.59663800000001</v>
      </c>
      <c r="C2475">
        <v>-17.021712999999998</v>
      </c>
      <c r="D2475">
        <v>195.543996113482</v>
      </c>
      <c r="E2475">
        <v>31.4</v>
      </c>
      <c r="F2475">
        <v>11.7806397668089</v>
      </c>
    </row>
    <row r="2476" spans="1:6" x14ac:dyDescent="0.2">
      <c r="A2476">
        <v>736787.63520000002</v>
      </c>
      <c r="B2476">
        <v>-149.596632</v>
      </c>
      <c r="C2476">
        <v>-17.021720999999999</v>
      </c>
      <c r="D2476">
        <v>204.7</v>
      </c>
      <c r="E2476">
        <v>31.4</v>
      </c>
      <c r="F2476">
        <v>12.3214400033796</v>
      </c>
    </row>
    <row r="2477" spans="1:6" x14ac:dyDescent="0.2">
      <c r="A2477">
        <v>736787.63520000002</v>
      </c>
      <c r="B2477">
        <v>-149.596622</v>
      </c>
      <c r="C2477">
        <v>-17.021735</v>
      </c>
      <c r="D2477">
        <v>204.7</v>
      </c>
      <c r="E2477">
        <v>31.4</v>
      </c>
      <c r="F2477">
        <v>12.3214400033796</v>
      </c>
    </row>
    <row r="2478" spans="1:6" x14ac:dyDescent="0.2">
      <c r="A2478">
        <v>736787.63520000002</v>
      </c>
      <c r="B2478">
        <v>-149.59661800000001</v>
      </c>
      <c r="C2478">
        <v>-17.021746</v>
      </c>
      <c r="D2478">
        <v>204.7</v>
      </c>
      <c r="E2478">
        <v>31.4</v>
      </c>
      <c r="F2478">
        <v>12.3214400033796</v>
      </c>
    </row>
    <row r="2479" spans="1:6" x14ac:dyDescent="0.2">
      <c r="A2479">
        <v>736787.63520000002</v>
      </c>
      <c r="B2479">
        <v>-149.59661199999999</v>
      </c>
      <c r="C2479">
        <v>-17.021763</v>
      </c>
      <c r="D2479">
        <v>204.7</v>
      </c>
      <c r="E2479">
        <v>31.4</v>
      </c>
      <c r="F2479">
        <v>12.3214400033796</v>
      </c>
    </row>
    <row r="2480" spans="1:6" x14ac:dyDescent="0.2">
      <c r="A2480">
        <v>736787.63520000002</v>
      </c>
      <c r="B2480">
        <v>-149.59660400000001</v>
      </c>
      <c r="C2480">
        <v>-17.021775999999999</v>
      </c>
      <c r="D2480">
        <v>204.7</v>
      </c>
      <c r="E2480">
        <v>31.4</v>
      </c>
      <c r="F2480">
        <v>12.3214400033796</v>
      </c>
    </row>
    <row r="2481" spans="1:6" x14ac:dyDescent="0.2">
      <c r="A2481">
        <v>736787.63529999997</v>
      </c>
      <c r="B2481">
        <v>-149.596597</v>
      </c>
      <c r="C2481">
        <v>-17.021789999999999</v>
      </c>
      <c r="D2481">
        <v>221.66479703401501</v>
      </c>
      <c r="E2481">
        <v>31.4</v>
      </c>
      <c r="F2481">
        <v>13.338719822652401</v>
      </c>
    </row>
    <row r="2482" spans="1:6" x14ac:dyDescent="0.2">
      <c r="A2482">
        <v>736787.63529999997</v>
      </c>
      <c r="B2482">
        <v>-149.59659400000001</v>
      </c>
      <c r="C2482">
        <v>-17.021803999999999</v>
      </c>
      <c r="D2482">
        <v>221.66479703401501</v>
      </c>
      <c r="E2482">
        <v>31.4</v>
      </c>
      <c r="F2482">
        <v>13.338719822652401</v>
      </c>
    </row>
    <row r="2483" spans="1:6" x14ac:dyDescent="0.2">
      <c r="A2483">
        <v>736787.63529999997</v>
      </c>
      <c r="B2483">
        <v>-149.596598</v>
      </c>
      <c r="C2483">
        <v>-17.021794</v>
      </c>
      <c r="D2483">
        <v>221.66479703401501</v>
      </c>
      <c r="E2483">
        <v>31.4</v>
      </c>
      <c r="F2483">
        <v>13.338719822652401</v>
      </c>
    </row>
    <row r="2484" spans="1:6" x14ac:dyDescent="0.2">
      <c r="A2484">
        <v>736787.63540000003</v>
      </c>
      <c r="B2484">
        <v>-149.59660600000001</v>
      </c>
      <c r="C2484">
        <v>-17.021802000000001</v>
      </c>
      <c r="D2484">
        <v>226.47360099134599</v>
      </c>
      <c r="E2484">
        <v>31.4</v>
      </c>
      <c r="F2484">
        <v>13.6430400601889</v>
      </c>
    </row>
    <row r="2485" spans="1:6" x14ac:dyDescent="0.2">
      <c r="A2485">
        <v>736787.63540000003</v>
      </c>
      <c r="B2485">
        <v>-149.596599</v>
      </c>
      <c r="C2485">
        <v>-17.021799999999999</v>
      </c>
      <c r="D2485">
        <v>226.47360099134599</v>
      </c>
      <c r="E2485">
        <v>31.4</v>
      </c>
      <c r="F2485">
        <v>13.6430400601889</v>
      </c>
    </row>
    <row r="2486" spans="1:6" x14ac:dyDescent="0.2">
      <c r="A2486">
        <v>736787.63560000004</v>
      </c>
      <c r="B2486">
        <v>-149.596611</v>
      </c>
      <c r="C2486">
        <v>-17.021796999999999</v>
      </c>
      <c r="D2486">
        <v>224.56959959927701</v>
      </c>
      <c r="E2486">
        <v>31.3</v>
      </c>
      <c r="F2486">
        <v>13.552319986642599</v>
      </c>
    </row>
    <row r="2487" spans="1:6" x14ac:dyDescent="0.2">
      <c r="A2487">
        <v>736787.63560000004</v>
      </c>
      <c r="B2487">
        <v>-149.59661199999999</v>
      </c>
      <c r="C2487">
        <v>-17.021806000000002</v>
      </c>
      <c r="D2487">
        <v>224.56959959927701</v>
      </c>
      <c r="E2487">
        <v>31.3</v>
      </c>
      <c r="F2487">
        <v>13.552319986642599</v>
      </c>
    </row>
    <row r="2488" spans="1:6" x14ac:dyDescent="0.2">
      <c r="A2488">
        <v>736787.63569999998</v>
      </c>
      <c r="B2488">
        <v>-149.59661600000001</v>
      </c>
      <c r="C2488">
        <v>-17.021815</v>
      </c>
      <c r="D2488">
        <v>208.85040001770301</v>
      </c>
      <c r="E2488">
        <v>31.0504000177026</v>
      </c>
      <c r="F2488">
        <v>12.6449599982297</v>
      </c>
    </row>
    <row r="2489" spans="1:6" x14ac:dyDescent="0.2">
      <c r="A2489">
        <v>736787.63569999998</v>
      </c>
      <c r="B2489">
        <v>-149.59662</v>
      </c>
      <c r="C2489">
        <v>-17.021823000000001</v>
      </c>
      <c r="D2489">
        <v>208.85040001770301</v>
      </c>
      <c r="E2489">
        <v>31.0504000177026</v>
      </c>
      <c r="F2489">
        <v>12.6449599982297</v>
      </c>
    </row>
    <row r="2490" spans="1:6" x14ac:dyDescent="0.2">
      <c r="A2490">
        <v>736787.63580000005</v>
      </c>
      <c r="B2490">
        <v>-149.59663399999999</v>
      </c>
      <c r="C2490">
        <v>-17.021843000000001</v>
      </c>
      <c r="D2490">
        <v>196.42879730920399</v>
      </c>
      <c r="E2490">
        <v>30.977599969422801</v>
      </c>
      <c r="F2490">
        <v>11.905759844056201</v>
      </c>
    </row>
    <row r="2491" spans="1:6" x14ac:dyDescent="0.2">
      <c r="A2491">
        <v>736787.63580000005</v>
      </c>
      <c r="B2491">
        <v>-149.59663599999999</v>
      </c>
      <c r="C2491">
        <v>-17.021854000000001</v>
      </c>
      <c r="D2491">
        <v>196.42879730920399</v>
      </c>
      <c r="E2491">
        <v>30.977599969422801</v>
      </c>
      <c r="F2491">
        <v>11.905759844056201</v>
      </c>
    </row>
    <row r="2492" spans="1:6" x14ac:dyDescent="0.2">
      <c r="A2492">
        <v>736787.63580000005</v>
      </c>
      <c r="B2492">
        <v>-149.59664699999999</v>
      </c>
      <c r="C2492">
        <v>-17.021867</v>
      </c>
      <c r="D2492">
        <v>196.42879730920399</v>
      </c>
      <c r="E2492">
        <v>30.977599969422801</v>
      </c>
      <c r="F2492">
        <v>11.905759844056201</v>
      </c>
    </row>
    <row r="2493" spans="1:6" x14ac:dyDescent="0.2">
      <c r="A2493">
        <v>736787.63580000005</v>
      </c>
      <c r="B2493">
        <v>-149.596654</v>
      </c>
      <c r="C2493">
        <v>-17.021875000000001</v>
      </c>
      <c r="D2493">
        <v>196.42879730920399</v>
      </c>
      <c r="E2493">
        <v>30.977599969422801</v>
      </c>
      <c r="F2493">
        <v>11.905759844056201</v>
      </c>
    </row>
    <row r="2494" spans="1:6" x14ac:dyDescent="0.2">
      <c r="A2494">
        <v>736787.63580000005</v>
      </c>
      <c r="B2494">
        <v>-149.596667</v>
      </c>
      <c r="C2494">
        <v>-17.021884</v>
      </c>
      <c r="D2494">
        <v>196.42879730920399</v>
      </c>
      <c r="E2494">
        <v>30.977599969422801</v>
      </c>
      <c r="F2494">
        <v>11.905759844056201</v>
      </c>
    </row>
    <row r="2495" spans="1:6" x14ac:dyDescent="0.2">
      <c r="A2495">
        <v>736787.63580000005</v>
      </c>
      <c r="B2495">
        <v>-149.596676</v>
      </c>
      <c r="C2495">
        <v>-17.021896999999999</v>
      </c>
      <c r="D2495">
        <v>196.42879730920399</v>
      </c>
      <c r="E2495">
        <v>30.977599969422801</v>
      </c>
      <c r="F2495">
        <v>11.905759844056201</v>
      </c>
    </row>
    <row r="2496" spans="1:6" x14ac:dyDescent="0.2">
      <c r="A2496">
        <v>736787.63589999999</v>
      </c>
      <c r="B2496">
        <v>-149.59669400000001</v>
      </c>
      <c r="C2496">
        <v>-17.021909999999998</v>
      </c>
      <c r="D2496">
        <v>189.50480001126499</v>
      </c>
      <c r="E2496">
        <v>30.709600022530498</v>
      </c>
      <c r="F2496">
        <v>11.5385599966204</v>
      </c>
    </row>
    <row r="2497" spans="1:6" x14ac:dyDescent="0.2">
      <c r="A2497">
        <v>736787.63589999999</v>
      </c>
      <c r="B2497">
        <v>-149.59670600000001</v>
      </c>
      <c r="C2497">
        <v>-17.021915</v>
      </c>
      <c r="D2497">
        <v>189.50480001126499</v>
      </c>
      <c r="E2497">
        <v>30.709600022530498</v>
      </c>
      <c r="F2497">
        <v>11.5385599966204</v>
      </c>
    </row>
    <row r="2498" spans="1:6" x14ac:dyDescent="0.2">
      <c r="A2498">
        <v>736787.63589999999</v>
      </c>
      <c r="B2498">
        <v>-149.59671499999999</v>
      </c>
      <c r="C2498">
        <v>-17.021919</v>
      </c>
      <c r="D2498">
        <v>189.50480001126499</v>
      </c>
      <c r="E2498">
        <v>30.709600022530498</v>
      </c>
      <c r="F2498">
        <v>11.5385599966204</v>
      </c>
    </row>
    <row r="2499" spans="1:6" x14ac:dyDescent="0.2">
      <c r="A2499">
        <v>736787.63589999999</v>
      </c>
      <c r="B2499">
        <v>-149.596735</v>
      </c>
      <c r="C2499">
        <v>-17.021926000000001</v>
      </c>
      <c r="D2499">
        <v>189.50480001126499</v>
      </c>
      <c r="E2499">
        <v>30.709600022530498</v>
      </c>
      <c r="F2499">
        <v>11.5385599966204</v>
      </c>
    </row>
    <row r="2500" spans="1:6" x14ac:dyDescent="0.2">
      <c r="A2500">
        <v>736787.63589999999</v>
      </c>
      <c r="B2500">
        <v>-149.596745</v>
      </c>
      <c r="C2500">
        <v>-17.021930000000001</v>
      </c>
      <c r="D2500">
        <v>189.50480001126499</v>
      </c>
      <c r="E2500">
        <v>30.709600022530498</v>
      </c>
      <c r="F2500">
        <v>11.5385599966204</v>
      </c>
    </row>
    <row r="2501" spans="1:6" x14ac:dyDescent="0.2">
      <c r="A2501">
        <v>736787.63589999999</v>
      </c>
      <c r="B2501">
        <v>-149.59676099999999</v>
      </c>
      <c r="C2501">
        <v>-17.021937999999999</v>
      </c>
      <c r="D2501">
        <v>189.50480001126499</v>
      </c>
      <c r="E2501">
        <v>30.709600022530498</v>
      </c>
      <c r="F2501">
        <v>11.5385599966204</v>
      </c>
    </row>
    <row r="2502" spans="1:6" x14ac:dyDescent="0.2">
      <c r="A2502">
        <v>736787.63600000006</v>
      </c>
      <c r="B2502">
        <v>-149.59676999999999</v>
      </c>
      <c r="C2502">
        <v>-17.021941999999999</v>
      </c>
      <c r="D2502">
        <v>176.299990344034</v>
      </c>
      <c r="E2502">
        <v>30.5</v>
      </c>
      <c r="F2502">
        <v>10.763999420642</v>
      </c>
    </row>
    <row r="2503" spans="1:6" x14ac:dyDescent="0.2">
      <c r="A2503">
        <v>736787.63600000006</v>
      </c>
      <c r="B2503">
        <v>-149.596779</v>
      </c>
      <c r="C2503">
        <v>-17.021946</v>
      </c>
      <c r="D2503">
        <v>176.299990344034</v>
      </c>
      <c r="E2503">
        <v>30.5</v>
      </c>
      <c r="F2503">
        <v>10.763999420642</v>
      </c>
    </row>
    <row r="2504" spans="1:6" x14ac:dyDescent="0.2">
      <c r="A2504">
        <v>736787.63600000006</v>
      </c>
      <c r="B2504">
        <v>-149.59679499999999</v>
      </c>
      <c r="C2504">
        <v>-17.021954000000001</v>
      </c>
      <c r="D2504">
        <v>176.299990344034</v>
      </c>
      <c r="E2504">
        <v>30.5</v>
      </c>
      <c r="F2504">
        <v>10.763999420642</v>
      </c>
    </row>
    <row r="2505" spans="1:6" x14ac:dyDescent="0.2">
      <c r="A2505">
        <v>736787.63600000006</v>
      </c>
      <c r="B2505">
        <v>-149.59680399999999</v>
      </c>
      <c r="C2505">
        <v>-17.021961999999998</v>
      </c>
      <c r="D2505">
        <v>176.299990344034</v>
      </c>
      <c r="E2505">
        <v>30.5</v>
      </c>
      <c r="F2505">
        <v>10.763999420642</v>
      </c>
    </row>
    <row r="2506" spans="1:6" x14ac:dyDescent="0.2">
      <c r="A2506">
        <v>736787.63600000006</v>
      </c>
      <c r="B2506">
        <v>-149.59681900000001</v>
      </c>
      <c r="C2506">
        <v>-17.021968000000001</v>
      </c>
      <c r="D2506">
        <v>176.299990344034</v>
      </c>
      <c r="E2506">
        <v>30.5</v>
      </c>
      <c r="F2506">
        <v>10.763999420642</v>
      </c>
    </row>
    <row r="2507" spans="1:6" x14ac:dyDescent="0.2">
      <c r="A2507">
        <v>736787.63600000006</v>
      </c>
      <c r="B2507">
        <v>-149.59682900000001</v>
      </c>
      <c r="C2507">
        <v>-17.021974</v>
      </c>
      <c r="D2507">
        <v>176.299990344034</v>
      </c>
      <c r="E2507">
        <v>30.5</v>
      </c>
      <c r="F2507">
        <v>10.763999420642</v>
      </c>
    </row>
    <row r="2508" spans="1:6" x14ac:dyDescent="0.2">
      <c r="A2508">
        <v>736787.6361</v>
      </c>
      <c r="B2508">
        <v>-149.59683799999999</v>
      </c>
      <c r="C2508">
        <v>-17.021979000000002</v>
      </c>
      <c r="D2508">
        <v>169</v>
      </c>
      <c r="E2508">
        <v>30.4</v>
      </c>
      <c r="F2508">
        <v>10.334079999517201</v>
      </c>
    </row>
    <row r="2509" spans="1:6" x14ac:dyDescent="0.2">
      <c r="A2509">
        <v>736787.6361</v>
      </c>
      <c r="B2509">
        <v>-149.59685300000001</v>
      </c>
      <c r="C2509">
        <v>-17.021992000000001</v>
      </c>
      <c r="D2509">
        <v>169</v>
      </c>
      <c r="E2509">
        <v>30.4</v>
      </c>
      <c r="F2509">
        <v>10.334079999517201</v>
      </c>
    </row>
    <row r="2510" spans="1:6" x14ac:dyDescent="0.2">
      <c r="A2510">
        <v>736787.6361</v>
      </c>
      <c r="B2510">
        <v>-149.59686099999999</v>
      </c>
      <c r="C2510">
        <v>-17.021999000000001</v>
      </c>
      <c r="D2510">
        <v>169</v>
      </c>
      <c r="E2510">
        <v>30.4</v>
      </c>
      <c r="F2510">
        <v>10.334079999517201</v>
      </c>
    </row>
    <row r="2511" spans="1:6" x14ac:dyDescent="0.2">
      <c r="A2511">
        <v>736787.6361</v>
      </c>
      <c r="B2511">
        <v>-149.596868</v>
      </c>
      <c r="C2511">
        <v>-17.022005</v>
      </c>
      <c r="D2511">
        <v>169</v>
      </c>
      <c r="E2511">
        <v>30.4</v>
      </c>
      <c r="F2511">
        <v>10.334079999517201</v>
      </c>
    </row>
    <row r="2512" spans="1:6" x14ac:dyDescent="0.2">
      <c r="A2512">
        <v>736787.6361</v>
      </c>
      <c r="B2512">
        <v>-149.59688499999999</v>
      </c>
      <c r="C2512">
        <v>-17.022016000000001</v>
      </c>
      <c r="D2512">
        <v>169</v>
      </c>
      <c r="E2512">
        <v>30.4</v>
      </c>
      <c r="F2512">
        <v>10.334079999517201</v>
      </c>
    </row>
    <row r="2513" spans="1:6" x14ac:dyDescent="0.2">
      <c r="A2513">
        <v>736787.6361</v>
      </c>
      <c r="B2513">
        <v>-149.59689399999999</v>
      </c>
      <c r="C2513">
        <v>-17.022023000000001</v>
      </c>
      <c r="D2513">
        <v>169</v>
      </c>
      <c r="E2513">
        <v>30.4</v>
      </c>
      <c r="F2513">
        <v>10.334079999517201</v>
      </c>
    </row>
    <row r="2514" spans="1:6" x14ac:dyDescent="0.2">
      <c r="A2514">
        <v>736787.6361</v>
      </c>
      <c r="B2514">
        <v>-149.596902</v>
      </c>
      <c r="C2514">
        <v>-17.022030999999998</v>
      </c>
      <c r="D2514">
        <v>169</v>
      </c>
      <c r="E2514">
        <v>30.4</v>
      </c>
      <c r="F2514">
        <v>10.334079999517201</v>
      </c>
    </row>
    <row r="2515" spans="1:6" x14ac:dyDescent="0.2">
      <c r="A2515">
        <v>736787.63619999995</v>
      </c>
      <c r="B2515">
        <v>-149.596914</v>
      </c>
      <c r="C2515">
        <v>-17.022040000000001</v>
      </c>
      <c r="D2515">
        <v>165.73280004345199</v>
      </c>
      <c r="E2515">
        <v>30.4</v>
      </c>
      <c r="F2515">
        <v>10.1382400025749</v>
      </c>
    </row>
    <row r="2516" spans="1:6" x14ac:dyDescent="0.2">
      <c r="A2516">
        <v>736787.63619999995</v>
      </c>
      <c r="B2516">
        <v>-149.596923</v>
      </c>
      <c r="C2516">
        <v>-17.022047000000001</v>
      </c>
      <c r="D2516">
        <v>165.73280004345199</v>
      </c>
      <c r="E2516">
        <v>30.4</v>
      </c>
      <c r="F2516">
        <v>10.1382400025749</v>
      </c>
    </row>
    <row r="2517" spans="1:6" x14ac:dyDescent="0.2">
      <c r="A2517">
        <v>736787.63619999995</v>
      </c>
      <c r="B2517">
        <v>-149.59693999999999</v>
      </c>
      <c r="C2517">
        <v>-17.022058000000001</v>
      </c>
      <c r="D2517">
        <v>165.73280004345199</v>
      </c>
      <c r="E2517">
        <v>30.4</v>
      </c>
      <c r="F2517">
        <v>10.1382400025749</v>
      </c>
    </row>
    <row r="2518" spans="1:6" x14ac:dyDescent="0.2">
      <c r="A2518">
        <v>736787.63619999995</v>
      </c>
      <c r="B2518">
        <v>-149.596948</v>
      </c>
      <c r="C2518">
        <v>-17.022064</v>
      </c>
      <c r="D2518">
        <v>165.73280004345199</v>
      </c>
      <c r="E2518">
        <v>30.4</v>
      </c>
      <c r="F2518">
        <v>10.1382400025749</v>
      </c>
    </row>
    <row r="2519" spans="1:6" x14ac:dyDescent="0.2">
      <c r="A2519">
        <v>736787.63619999995</v>
      </c>
      <c r="B2519">
        <v>-149.59695400000001</v>
      </c>
      <c r="C2519">
        <v>-17.022072000000001</v>
      </c>
      <c r="D2519">
        <v>165.73280004345199</v>
      </c>
      <c r="E2519">
        <v>30.4</v>
      </c>
      <c r="F2519">
        <v>10.1382400025749</v>
      </c>
    </row>
    <row r="2520" spans="1:6" x14ac:dyDescent="0.2">
      <c r="A2520">
        <v>736787.63619999995</v>
      </c>
      <c r="B2520">
        <v>-149.59696099999999</v>
      </c>
      <c r="C2520">
        <v>-17.022082999999999</v>
      </c>
      <c r="D2520">
        <v>165.73280004345199</v>
      </c>
      <c r="E2520">
        <v>30.4</v>
      </c>
      <c r="F2520">
        <v>10.1382400025749</v>
      </c>
    </row>
    <row r="2521" spans="1:6" x14ac:dyDescent="0.2">
      <c r="A2521">
        <v>736787.63619999995</v>
      </c>
      <c r="B2521">
        <v>-149.59697299999999</v>
      </c>
      <c r="C2521">
        <v>-17.022091</v>
      </c>
      <c r="D2521">
        <v>165.73280004345199</v>
      </c>
      <c r="E2521">
        <v>30.4</v>
      </c>
      <c r="F2521">
        <v>10.1382400025749</v>
      </c>
    </row>
    <row r="2522" spans="1:6" x14ac:dyDescent="0.2">
      <c r="A2522">
        <v>736787.63630000001</v>
      </c>
      <c r="B2522">
        <v>-149.59698</v>
      </c>
      <c r="C2522">
        <v>-17.022099000000001</v>
      </c>
      <c r="D2522">
        <v>163.4</v>
      </c>
      <c r="E2522">
        <v>30.3135999983907</v>
      </c>
      <c r="F2522">
        <v>10.0172800003219</v>
      </c>
    </row>
    <row r="2523" spans="1:6" x14ac:dyDescent="0.2">
      <c r="A2523">
        <v>736787.63630000001</v>
      </c>
      <c r="B2523">
        <v>-149.59699499999999</v>
      </c>
      <c r="C2523">
        <v>-17.022109</v>
      </c>
      <c r="D2523">
        <v>163.4</v>
      </c>
      <c r="E2523">
        <v>30.3135999983907</v>
      </c>
      <c r="F2523">
        <v>10.0172800003219</v>
      </c>
    </row>
    <row r="2524" spans="1:6" x14ac:dyDescent="0.2">
      <c r="A2524">
        <v>736787.63630000001</v>
      </c>
      <c r="B2524">
        <v>-149.59700100000001</v>
      </c>
      <c r="C2524">
        <v>-17.022119</v>
      </c>
      <c r="D2524">
        <v>163.4</v>
      </c>
      <c r="E2524">
        <v>30.3135999983907</v>
      </c>
      <c r="F2524">
        <v>10.0172800003219</v>
      </c>
    </row>
    <row r="2525" spans="1:6" x14ac:dyDescent="0.2">
      <c r="A2525">
        <v>736787.63630000001</v>
      </c>
      <c r="B2525">
        <v>-149.59701799999999</v>
      </c>
      <c r="C2525">
        <v>-17.022124999999999</v>
      </c>
      <c r="D2525">
        <v>163.4</v>
      </c>
      <c r="E2525">
        <v>30.3135999983907</v>
      </c>
      <c r="F2525">
        <v>10.0172800003219</v>
      </c>
    </row>
    <row r="2526" spans="1:6" x14ac:dyDescent="0.2">
      <c r="A2526">
        <v>736787.63630000001</v>
      </c>
      <c r="B2526">
        <v>-149.59703400000001</v>
      </c>
      <c r="C2526">
        <v>-17.022138000000002</v>
      </c>
      <c r="D2526">
        <v>163.4</v>
      </c>
      <c r="E2526">
        <v>30.3135999983907</v>
      </c>
      <c r="F2526">
        <v>10.0172800003219</v>
      </c>
    </row>
    <row r="2527" spans="1:6" x14ac:dyDescent="0.2">
      <c r="A2527">
        <v>736787.63630000001</v>
      </c>
      <c r="B2527">
        <v>-149.59704199999999</v>
      </c>
      <c r="C2527">
        <v>-17.022143</v>
      </c>
      <c r="D2527">
        <v>163.4</v>
      </c>
      <c r="E2527">
        <v>30.3135999983907</v>
      </c>
      <c r="F2527">
        <v>10.0172800003219</v>
      </c>
    </row>
    <row r="2528" spans="1:6" x14ac:dyDescent="0.2">
      <c r="A2528">
        <v>736787.63639999996</v>
      </c>
      <c r="B2528">
        <v>-149.59705199999999</v>
      </c>
      <c r="C2528">
        <v>-17.022147</v>
      </c>
      <c r="D2528">
        <v>158.82400231743199</v>
      </c>
      <c r="E2528">
        <v>30.240800077247702</v>
      </c>
      <c r="F2528">
        <v>9.7393601313211402</v>
      </c>
    </row>
    <row r="2529" spans="1:6" x14ac:dyDescent="0.2">
      <c r="A2529">
        <v>736787.63639999996</v>
      </c>
      <c r="B2529">
        <v>-149.59706299999999</v>
      </c>
      <c r="C2529">
        <v>-17.022151000000001</v>
      </c>
      <c r="D2529">
        <v>158.82400231743199</v>
      </c>
      <c r="E2529">
        <v>30.240800077247702</v>
      </c>
      <c r="F2529">
        <v>9.7393601313211402</v>
      </c>
    </row>
    <row r="2530" spans="1:6" x14ac:dyDescent="0.2">
      <c r="A2530">
        <v>736787.63639999996</v>
      </c>
      <c r="B2530">
        <v>-149.59707299999999</v>
      </c>
      <c r="C2530">
        <v>-17.02216</v>
      </c>
      <c r="D2530">
        <v>158.82400231743199</v>
      </c>
      <c r="E2530">
        <v>30.240800077247702</v>
      </c>
      <c r="F2530">
        <v>9.7393601313211402</v>
      </c>
    </row>
    <row r="2531" spans="1:6" x14ac:dyDescent="0.2">
      <c r="A2531">
        <v>736787.63639999996</v>
      </c>
      <c r="B2531">
        <v>-149.597083</v>
      </c>
      <c r="C2531">
        <v>-17.022167</v>
      </c>
      <c r="D2531">
        <v>158.82400231743199</v>
      </c>
      <c r="E2531">
        <v>30.240800077247702</v>
      </c>
      <c r="F2531">
        <v>9.7393601313211402</v>
      </c>
    </row>
    <row r="2532" spans="1:6" x14ac:dyDescent="0.2">
      <c r="A2532">
        <v>736787.63639999996</v>
      </c>
      <c r="B2532">
        <v>-149.59709100000001</v>
      </c>
      <c r="C2532">
        <v>-17.022172000000001</v>
      </c>
      <c r="D2532">
        <v>158.82400231743199</v>
      </c>
      <c r="E2532">
        <v>30.240800077247702</v>
      </c>
      <c r="F2532">
        <v>9.7393601313211402</v>
      </c>
    </row>
    <row r="2533" spans="1:6" x14ac:dyDescent="0.2">
      <c r="A2533">
        <v>736787.63639999996</v>
      </c>
      <c r="B2533">
        <v>-149.59710100000001</v>
      </c>
      <c r="C2533">
        <v>-17.022172000000001</v>
      </c>
      <c r="D2533">
        <v>158.82400231743199</v>
      </c>
      <c r="E2533">
        <v>30.240800077247702</v>
      </c>
      <c r="F2533">
        <v>9.7393601313211402</v>
      </c>
    </row>
    <row r="2534" spans="1:6" x14ac:dyDescent="0.2">
      <c r="A2534">
        <v>736787.63639999996</v>
      </c>
      <c r="B2534">
        <v>-149.59711100000001</v>
      </c>
      <c r="C2534">
        <v>-17.022176000000002</v>
      </c>
      <c r="D2534">
        <v>158.82400231743199</v>
      </c>
      <c r="E2534">
        <v>30.240800077247702</v>
      </c>
      <c r="F2534">
        <v>9.7393601313211402</v>
      </c>
    </row>
    <row r="2535" spans="1:6" x14ac:dyDescent="0.2">
      <c r="A2535">
        <v>736787.63650000002</v>
      </c>
      <c r="B2535">
        <v>-149.597128</v>
      </c>
      <c r="C2535">
        <v>-17.022179999999999</v>
      </c>
      <c r="D2535">
        <v>157.375999943674</v>
      </c>
      <c r="E2535">
        <v>30.2</v>
      </c>
      <c r="F2535">
        <v>9.6539999959766902</v>
      </c>
    </row>
    <row r="2536" spans="1:6" x14ac:dyDescent="0.2">
      <c r="A2536">
        <v>736787.63650000002</v>
      </c>
      <c r="B2536">
        <v>-149.59714199999999</v>
      </c>
      <c r="C2536">
        <v>-17.022182000000001</v>
      </c>
      <c r="D2536">
        <v>157.375999943674</v>
      </c>
      <c r="E2536">
        <v>30.2</v>
      </c>
      <c r="F2536">
        <v>9.6539999959766902</v>
      </c>
    </row>
    <row r="2537" spans="1:6" x14ac:dyDescent="0.2">
      <c r="A2537">
        <v>736787.63650000002</v>
      </c>
      <c r="B2537">
        <v>-149.597151</v>
      </c>
      <c r="C2537">
        <v>-17.022189999999998</v>
      </c>
      <c r="D2537">
        <v>157.375999943674</v>
      </c>
      <c r="E2537">
        <v>30.2</v>
      </c>
      <c r="F2537">
        <v>9.6539999959766902</v>
      </c>
    </row>
    <row r="2538" spans="1:6" x14ac:dyDescent="0.2">
      <c r="A2538">
        <v>736787.63650000002</v>
      </c>
      <c r="B2538">
        <v>-149.597159</v>
      </c>
      <c r="C2538">
        <v>-17.022197999999999</v>
      </c>
      <c r="D2538">
        <v>157.375999943674</v>
      </c>
      <c r="E2538">
        <v>30.2</v>
      </c>
      <c r="F2538">
        <v>9.6539999959766902</v>
      </c>
    </row>
    <row r="2539" spans="1:6" x14ac:dyDescent="0.2">
      <c r="A2539">
        <v>736787.63650000002</v>
      </c>
      <c r="B2539">
        <v>-149.59717000000001</v>
      </c>
      <c r="C2539">
        <v>-17.022205</v>
      </c>
      <c r="D2539">
        <v>157.375999943674</v>
      </c>
      <c r="E2539">
        <v>30.2</v>
      </c>
      <c r="F2539">
        <v>9.6539999959766902</v>
      </c>
    </row>
    <row r="2540" spans="1:6" x14ac:dyDescent="0.2">
      <c r="A2540">
        <v>736787.63650000002</v>
      </c>
      <c r="B2540">
        <v>-149.597182</v>
      </c>
      <c r="C2540">
        <v>-17.022214000000002</v>
      </c>
      <c r="D2540">
        <v>157.375999943674</v>
      </c>
      <c r="E2540">
        <v>30.2</v>
      </c>
      <c r="F2540">
        <v>9.6539999959766902</v>
      </c>
    </row>
    <row r="2541" spans="1:6" x14ac:dyDescent="0.2">
      <c r="A2541">
        <v>736787.63650000002</v>
      </c>
      <c r="B2541">
        <v>-149.59718799999999</v>
      </c>
      <c r="C2541">
        <v>-17.022223</v>
      </c>
      <c r="D2541">
        <v>157.375999943674</v>
      </c>
      <c r="E2541">
        <v>30.2</v>
      </c>
      <c r="F2541">
        <v>9.6539999959766902</v>
      </c>
    </row>
    <row r="2542" spans="1:6" x14ac:dyDescent="0.2">
      <c r="A2542">
        <v>736787.63659999997</v>
      </c>
      <c r="B2542">
        <v>-149.59721099999999</v>
      </c>
      <c r="C2542">
        <v>-17.022234000000001</v>
      </c>
      <c r="D2542">
        <v>157.29519998873499</v>
      </c>
      <c r="E2542">
        <v>30.290399977469502</v>
      </c>
      <c r="F2542">
        <v>9.6409600022530508</v>
      </c>
    </row>
    <row r="2543" spans="1:6" x14ac:dyDescent="0.2">
      <c r="A2543">
        <v>736787.63659999997</v>
      </c>
      <c r="B2543">
        <v>-149.59722500000001</v>
      </c>
      <c r="C2543">
        <v>-17.022238999999999</v>
      </c>
      <c r="D2543">
        <v>157.29519998873499</v>
      </c>
      <c r="E2543">
        <v>30.290399977469502</v>
      </c>
      <c r="F2543">
        <v>9.6409600022530508</v>
      </c>
    </row>
    <row r="2544" spans="1:6" x14ac:dyDescent="0.2">
      <c r="A2544">
        <v>736787.63659999997</v>
      </c>
      <c r="B2544">
        <v>-149.59723299999999</v>
      </c>
      <c r="C2544">
        <v>-17.022245999999999</v>
      </c>
      <c r="D2544">
        <v>157.29519998873499</v>
      </c>
      <c r="E2544">
        <v>30.290399977469502</v>
      </c>
      <c r="F2544">
        <v>9.6409600022530508</v>
      </c>
    </row>
    <row r="2545" spans="1:6" x14ac:dyDescent="0.2">
      <c r="A2545">
        <v>736787.63659999997</v>
      </c>
      <c r="B2545">
        <v>-149.59724</v>
      </c>
      <c r="C2545">
        <v>-17.022252999999999</v>
      </c>
      <c r="D2545">
        <v>157.29519998873499</v>
      </c>
      <c r="E2545">
        <v>30.290399977469502</v>
      </c>
      <c r="F2545">
        <v>9.6409600022530508</v>
      </c>
    </row>
    <row r="2546" spans="1:6" x14ac:dyDescent="0.2">
      <c r="A2546">
        <v>736787.63659999997</v>
      </c>
      <c r="B2546">
        <v>-149.59724800000001</v>
      </c>
      <c r="C2546">
        <v>-17.022259999999999</v>
      </c>
      <c r="D2546">
        <v>157.29519998873499</v>
      </c>
      <c r="E2546">
        <v>30.290399977469502</v>
      </c>
      <c r="F2546">
        <v>9.6409600022530508</v>
      </c>
    </row>
    <row r="2547" spans="1:6" x14ac:dyDescent="0.2">
      <c r="A2547">
        <v>736787.63659999997</v>
      </c>
      <c r="B2547">
        <v>-149.59725599999999</v>
      </c>
      <c r="C2547">
        <v>-17.022265999999998</v>
      </c>
      <c r="D2547">
        <v>157.29519998873499</v>
      </c>
      <c r="E2547">
        <v>30.290399977469502</v>
      </c>
      <c r="F2547">
        <v>9.6409600022530508</v>
      </c>
    </row>
    <row r="2548" spans="1:6" x14ac:dyDescent="0.2">
      <c r="A2548">
        <v>736787.63659999997</v>
      </c>
      <c r="B2548">
        <v>-149.59726699999999</v>
      </c>
      <c r="C2548">
        <v>-17.022272999999998</v>
      </c>
      <c r="D2548">
        <v>157.29519998873499</v>
      </c>
      <c r="E2548">
        <v>30.290399977469502</v>
      </c>
      <c r="F2548">
        <v>9.6409600022530508</v>
      </c>
    </row>
    <row r="2549" spans="1:6" x14ac:dyDescent="0.2">
      <c r="A2549">
        <v>736787.63659999997</v>
      </c>
      <c r="B2549">
        <v>-149.59727699999999</v>
      </c>
      <c r="C2549">
        <v>-17.022283000000002</v>
      </c>
      <c r="D2549">
        <v>157.29519998873499</v>
      </c>
      <c r="E2549">
        <v>30.290399977469502</v>
      </c>
      <c r="F2549">
        <v>9.6409600022530508</v>
      </c>
    </row>
    <row r="2550" spans="1:6" x14ac:dyDescent="0.2">
      <c r="A2550">
        <v>736787.63659999997</v>
      </c>
      <c r="B2550">
        <v>-149.597283</v>
      </c>
      <c r="C2550">
        <v>-17.022292</v>
      </c>
      <c r="D2550">
        <v>157.29519998873499</v>
      </c>
      <c r="E2550">
        <v>30.290399977469502</v>
      </c>
      <c r="F2550">
        <v>9.6409600022530508</v>
      </c>
    </row>
    <row r="2551" spans="1:6" x14ac:dyDescent="0.2">
      <c r="A2551">
        <v>736787.63670000003</v>
      </c>
      <c r="B2551">
        <v>-149.59729300000001</v>
      </c>
      <c r="C2551">
        <v>-17.022299</v>
      </c>
      <c r="D2551">
        <v>155.33759965238599</v>
      </c>
      <c r="E2551">
        <v>30.1</v>
      </c>
      <c r="F2551">
        <v>9.5513599797225108</v>
      </c>
    </row>
    <row r="2552" spans="1:6" x14ac:dyDescent="0.2">
      <c r="A2552">
        <v>736787.63670000003</v>
      </c>
      <c r="B2552">
        <v>-149.597308</v>
      </c>
      <c r="C2552">
        <v>-17.022304999999999</v>
      </c>
      <c r="D2552">
        <v>155.33759965238599</v>
      </c>
      <c r="E2552">
        <v>30.1</v>
      </c>
      <c r="F2552">
        <v>9.5513599797225108</v>
      </c>
    </row>
    <row r="2553" spans="1:6" x14ac:dyDescent="0.2">
      <c r="A2553">
        <v>736787.63670000003</v>
      </c>
      <c r="B2553">
        <v>-149.59731400000001</v>
      </c>
      <c r="C2553">
        <v>-17.022311999999999</v>
      </c>
      <c r="D2553">
        <v>155.33759965238599</v>
      </c>
      <c r="E2553">
        <v>30.1</v>
      </c>
      <c r="F2553">
        <v>9.5513599797225108</v>
      </c>
    </row>
    <row r="2554" spans="1:6" x14ac:dyDescent="0.2">
      <c r="A2554">
        <v>736787.63670000003</v>
      </c>
      <c r="B2554">
        <v>-149.59733</v>
      </c>
      <c r="C2554">
        <v>-17.022320000000001</v>
      </c>
      <c r="D2554">
        <v>155.33759965238599</v>
      </c>
      <c r="E2554">
        <v>30.1</v>
      </c>
      <c r="F2554">
        <v>9.5513599797225108</v>
      </c>
    </row>
    <row r="2555" spans="1:6" x14ac:dyDescent="0.2">
      <c r="A2555">
        <v>736787.63670000003</v>
      </c>
      <c r="B2555">
        <v>-149.59734</v>
      </c>
      <c r="C2555">
        <v>-17.022327000000001</v>
      </c>
      <c r="D2555">
        <v>155.33759965238599</v>
      </c>
      <c r="E2555">
        <v>30.1</v>
      </c>
      <c r="F2555">
        <v>9.5513599797225108</v>
      </c>
    </row>
    <row r="2556" spans="1:6" x14ac:dyDescent="0.2">
      <c r="A2556">
        <v>736787.63670000003</v>
      </c>
      <c r="B2556">
        <v>-149.597351</v>
      </c>
      <c r="C2556">
        <v>-17.022335000000002</v>
      </c>
      <c r="D2556">
        <v>155.33759965238599</v>
      </c>
      <c r="E2556">
        <v>30.1</v>
      </c>
      <c r="F2556">
        <v>9.5513599797225108</v>
      </c>
    </row>
    <row r="2557" spans="1:6" x14ac:dyDescent="0.2">
      <c r="A2557">
        <v>736787.63670000003</v>
      </c>
      <c r="B2557">
        <v>-149.59736100000001</v>
      </c>
      <c r="C2557">
        <v>-17.02234</v>
      </c>
      <c r="D2557">
        <v>155.33759965238599</v>
      </c>
      <c r="E2557">
        <v>30.1</v>
      </c>
      <c r="F2557">
        <v>9.5513599797225108</v>
      </c>
    </row>
    <row r="2558" spans="1:6" x14ac:dyDescent="0.2">
      <c r="A2558">
        <v>736787.63670000003</v>
      </c>
      <c r="B2558">
        <v>-149.59737100000001</v>
      </c>
      <c r="C2558">
        <v>-17.022347</v>
      </c>
      <c r="D2558">
        <v>155.33759965238599</v>
      </c>
      <c r="E2558">
        <v>30.1</v>
      </c>
      <c r="F2558">
        <v>9.5513599797225108</v>
      </c>
    </row>
    <row r="2559" spans="1:6" x14ac:dyDescent="0.2">
      <c r="A2559">
        <v>736787.63679999998</v>
      </c>
      <c r="B2559">
        <v>-149.59737899999999</v>
      </c>
      <c r="C2559">
        <v>-17.022354</v>
      </c>
      <c r="D2559">
        <v>152.49519978756899</v>
      </c>
      <c r="E2559">
        <v>30</v>
      </c>
      <c r="F2559">
        <v>9.3847199876082001</v>
      </c>
    </row>
    <row r="2560" spans="1:6" x14ac:dyDescent="0.2">
      <c r="A2560">
        <v>736787.63679999998</v>
      </c>
      <c r="B2560">
        <v>-149.59738999999999</v>
      </c>
      <c r="C2560">
        <v>-17.022359000000002</v>
      </c>
      <c r="D2560">
        <v>152.49519978756899</v>
      </c>
      <c r="E2560">
        <v>30</v>
      </c>
      <c r="F2560">
        <v>9.3847199876082001</v>
      </c>
    </row>
    <row r="2561" spans="1:6" x14ac:dyDescent="0.2">
      <c r="A2561">
        <v>736787.63679999998</v>
      </c>
      <c r="B2561">
        <v>-149.597399</v>
      </c>
      <c r="C2561">
        <v>-17.022366000000002</v>
      </c>
      <c r="D2561">
        <v>152.49519978756899</v>
      </c>
      <c r="E2561">
        <v>30</v>
      </c>
      <c r="F2561">
        <v>9.3847199876082001</v>
      </c>
    </row>
    <row r="2562" spans="1:6" x14ac:dyDescent="0.2">
      <c r="A2562">
        <v>736787.63679999998</v>
      </c>
      <c r="B2562">
        <v>-149.597409</v>
      </c>
      <c r="C2562">
        <v>-17.022373999999999</v>
      </c>
      <c r="D2562">
        <v>152.49519978756899</v>
      </c>
      <c r="E2562">
        <v>30</v>
      </c>
      <c r="F2562">
        <v>9.3847199876082001</v>
      </c>
    </row>
    <row r="2563" spans="1:6" x14ac:dyDescent="0.2">
      <c r="A2563">
        <v>736787.63679999998</v>
      </c>
      <c r="B2563">
        <v>-149.59741600000001</v>
      </c>
      <c r="C2563">
        <v>-17.022379999999998</v>
      </c>
      <c r="D2563">
        <v>152.49519978756899</v>
      </c>
      <c r="E2563">
        <v>30</v>
      </c>
      <c r="F2563">
        <v>9.3847199876082001</v>
      </c>
    </row>
    <row r="2564" spans="1:6" x14ac:dyDescent="0.2">
      <c r="A2564">
        <v>736787.63679999998</v>
      </c>
      <c r="B2564">
        <v>-149.59742600000001</v>
      </c>
      <c r="C2564">
        <v>-17.022380999999999</v>
      </c>
      <c r="D2564">
        <v>152.49519978756899</v>
      </c>
      <c r="E2564">
        <v>30</v>
      </c>
      <c r="F2564">
        <v>9.3847199876082001</v>
      </c>
    </row>
    <row r="2565" spans="1:6" x14ac:dyDescent="0.2">
      <c r="A2565">
        <v>736787.63679999998</v>
      </c>
      <c r="B2565">
        <v>-149.59744000000001</v>
      </c>
      <c r="C2565">
        <v>-17.022383999999999</v>
      </c>
      <c r="D2565">
        <v>152.49519978756899</v>
      </c>
      <c r="E2565">
        <v>30</v>
      </c>
      <c r="F2565">
        <v>9.3847199876082001</v>
      </c>
    </row>
    <row r="2566" spans="1:6" x14ac:dyDescent="0.2">
      <c r="A2566">
        <v>736787.63679999998</v>
      </c>
      <c r="B2566">
        <v>-149.59744800000001</v>
      </c>
      <c r="C2566">
        <v>-17.022390000000001</v>
      </c>
      <c r="D2566">
        <v>152.49519978756899</v>
      </c>
      <c r="E2566">
        <v>30</v>
      </c>
      <c r="F2566">
        <v>9.3847199876082001</v>
      </c>
    </row>
    <row r="2567" spans="1:6" x14ac:dyDescent="0.2">
      <c r="A2567">
        <v>736787.63690000004</v>
      </c>
      <c r="B2567">
        <v>-149.597455</v>
      </c>
      <c r="C2567">
        <v>-17.022396000000001</v>
      </c>
      <c r="D2567">
        <v>151.760799594449</v>
      </c>
      <c r="E2567">
        <v>30</v>
      </c>
      <c r="F2567">
        <v>9.3407199729632993</v>
      </c>
    </row>
    <row r="2568" spans="1:6" x14ac:dyDescent="0.2">
      <c r="A2568">
        <v>736787.63690000004</v>
      </c>
      <c r="B2568">
        <v>-149.59746699999999</v>
      </c>
      <c r="C2568">
        <v>-17.022397999999999</v>
      </c>
      <c r="D2568">
        <v>151.760799594449</v>
      </c>
      <c r="E2568">
        <v>30</v>
      </c>
      <c r="F2568">
        <v>9.3407199729632993</v>
      </c>
    </row>
    <row r="2569" spans="1:6" x14ac:dyDescent="0.2">
      <c r="A2569">
        <v>736787.63690000004</v>
      </c>
      <c r="B2569">
        <v>-149.59748099999999</v>
      </c>
      <c r="C2569">
        <v>-17.022400999999999</v>
      </c>
      <c r="D2569">
        <v>151.760799594449</v>
      </c>
      <c r="E2569">
        <v>30</v>
      </c>
      <c r="F2569">
        <v>9.3407199729632993</v>
      </c>
    </row>
    <row r="2570" spans="1:6" x14ac:dyDescent="0.2">
      <c r="A2570">
        <v>736787.63690000004</v>
      </c>
      <c r="B2570">
        <v>-149.59749099999999</v>
      </c>
      <c r="C2570">
        <v>-17.022404999999999</v>
      </c>
      <c r="D2570">
        <v>151.760799594449</v>
      </c>
      <c r="E2570">
        <v>30</v>
      </c>
      <c r="F2570">
        <v>9.3407199729632993</v>
      </c>
    </row>
    <row r="2571" spans="1:6" x14ac:dyDescent="0.2">
      <c r="A2571">
        <v>736787.63690000004</v>
      </c>
      <c r="B2571">
        <v>-149.59750600000001</v>
      </c>
      <c r="C2571">
        <v>-17.022409</v>
      </c>
      <c r="D2571">
        <v>151.760799594449</v>
      </c>
      <c r="E2571">
        <v>30</v>
      </c>
      <c r="F2571">
        <v>9.3407199729632993</v>
      </c>
    </row>
    <row r="2572" spans="1:6" x14ac:dyDescent="0.2">
      <c r="A2572">
        <v>736787.63690000004</v>
      </c>
      <c r="B2572">
        <v>-149.59751800000001</v>
      </c>
      <c r="C2572">
        <v>-17.022416</v>
      </c>
      <c r="D2572">
        <v>151.760799594449</v>
      </c>
      <c r="E2572">
        <v>30</v>
      </c>
      <c r="F2572">
        <v>9.3407199729632993</v>
      </c>
    </row>
    <row r="2573" spans="1:6" x14ac:dyDescent="0.2">
      <c r="A2573">
        <v>736787.63690000004</v>
      </c>
      <c r="B2573">
        <v>-149.59753599999999</v>
      </c>
      <c r="C2573">
        <v>-17.022424999999998</v>
      </c>
      <c r="D2573">
        <v>151.760799594449</v>
      </c>
      <c r="E2573">
        <v>30</v>
      </c>
      <c r="F2573">
        <v>9.3407199729632993</v>
      </c>
    </row>
    <row r="2574" spans="1:6" x14ac:dyDescent="0.2">
      <c r="A2574">
        <v>736787.63690000004</v>
      </c>
      <c r="B2574">
        <v>-149.59754599999999</v>
      </c>
      <c r="C2574">
        <v>-17.02243</v>
      </c>
      <c r="D2574">
        <v>151.760799594449</v>
      </c>
      <c r="E2574">
        <v>30</v>
      </c>
      <c r="F2574">
        <v>9.3407199729632993</v>
      </c>
    </row>
    <row r="2575" spans="1:6" x14ac:dyDescent="0.2">
      <c r="A2575">
        <v>736787.63699999999</v>
      </c>
      <c r="B2575">
        <v>-149.597556</v>
      </c>
      <c r="C2575">
        <v>-17.022432999999999</v>
      </c>
      <c r="D2575">
        <v>151.10799995171999</v>
      </c>
      <c r="E2575">
        <v>30</v>
      </c>
      <c r="F2575">
        <v>9.3003999975860108</v>
      </c>
    </row>
    <row r="2576" spans="1:6" x14ac:dyDescent="0.2">
      <c r="A2576">
        <v>736787.63699999999</v>
      </c>
      <c r="B2576">
        <v>-149.597566</v>
      </c>
      <c r="C2576">
        <v>-17.022434000000001</v>
      </c>
      <c r="D2576">
        <v>151.10799995171999</v>
      </c>
      <c r="E2576">
        <v>30</v>
      </c>
      <c r="F2576">
        <v>9.3003999975860108</v>
      </c>
    </row>
    <row r="2577" spans="1:6" x14ac:dyDescent="0.2">
      <c r="A2577">
        <v>736787.63699999999</v>
      </c>
      <c r="B2577">
        <v>-149.597578</v>
      </c>
      <c r="C2577">
        <v>-17.022435999999999</v>
      </c>
      <c r="D2577">
        <v>151.10799995171999</v>
      </c>
      <c r="E2577">
        <v>30</v>
      </c>
      <c r="F2577">
        <v>9.3003999975860108</v>
      </c>
    </row>
    <row r="2578" spans="1:6" x14ac:dyDescent="0.2">
      <c r="A2578">
        <v>736787.63699999999</v>
      </c>
      <c r="B2578">
        <v>-149.597589</v>
      </c>
      <c r="C2578">
        <v>-17.022438000000001</v>
      </c>
      <c r="D2578">
        <v>151.10799995171999</v>
      </c>
      <c r="E2578">
        <v>30</v>
      </c>
      <c r="F2578">
        <v>9.3003999975860108</v>
      </c>
    </row>
    <row r="2579" spans="1:6" x14ac:dyDescent="0.2">
      <c r="A2579">
        <v>736787.63699999999</v>
      </c>
      <c r="B2579">
        <v>-149.59760199999999</v>
      </c>
      <c r="C2579">
        <v>-17.022441000000001</v>
      </c>
      <c r="D2579">
        <v>151.10799995171999</v>
      </c>
      <c r="E2579">
        <v>30</v>
      </c>
      <c r="F2579">
        <v>9.3003999975860108</v>
      </c>
    </row>
    <row r="2580" spans="1:6" x14ac:dyDescent="0.2">
      <c r="A2580">
        <v>736787.63699999999</v>
      </c>
      <c r="B2580">
        <v>-149.59761700000001</v>
      </c>
      <c r="C2580">
        <v>-17.022449000000002</v>
      </c>
      <c r="D2580">
        <v>151.10799995171999</v>
      </c>
      <c r="E2580">
        <v>30</v>
      </c>
      <c r="F2580">
        <v>9.3003999975860108</v>
      </c>
    </row>
    <row r="2581" spans="1:6" x14ac:dyDescent="0.2">
      <c r="A2581">
        <v>736787.63710000005</v>
      </c>
      <c r="B2581">
        <v>-149.59762699999999</v>
      </c>
      <c r="C2581">
        <v>-17.022455999999998</v>
      </c>
      <c r="D2581">
        <v>150.75599986320699</v>
      </c>
      <c r="E2581">
        <v>30</v>
      </c>
      <c r="F2581">
        <v>9.2793599917924396</v>
      </c>
    </row>
    <row r="2582" spans="1:6" x14ac:dyDescent="0.2">
      <c r="A2582">
        <v>736787.63710000005</v>
      </c>
      <c r="B2582">
        <v>-149.597635</v>
      </c>
      <c r="C2582">
        <v>-17.022463999999999</v>
      </c>
      <c r="D2582">
        <v>150.75599986320699</v>
      </c>
      <c r="E2582">
        <v>30</v>
      </c>
      <c r="F2582">
        <v>9.2793599917924396</v>
      </c>
    </row>
    <row r="2583" spans="1:6" x14ac:dyDescent="0.2">
      <c r="A2583">
        <v>736787.63710000005</v>
      </c>
      <c r="B2583">
        <v>-149.59764799999999</v>
      </c>
      <c r="C2583">
        <v>-17.022468</v>
      </c>
      <c r="D2583">
        <v>150.75599986320699</v>
      </c>
      <c r="E2583">
        <v>30</v>
      </c>
      <c r="F2583">
        <v>9.2793599917924396</v>
      </c>
    </row>
    <row r="2584" spans="1:6" x14ac:dyDescent="0.2">
      <c r="A2584">
        <v>736787.63710000005</v>
      </c>
      <c r="B2584">
        <v>-149.59766099999999</v>
      </c>
      <c r="C2584">
        <v>-17.022478</v>
      </c>
      <c r="D2584">
        <v>150.75599986320699</v>
      </c>
      <c r="E2584">
        <v>30</v>
      </c>
      <c r="F2584">
        <v>9.2793599917924396</v>
      </c>
    </row>
    <row r="2585" spans="1:6" x14ac:dyDescent="0.2">
      <c r="A2585">
        <v>736787.63710000005</v>
      </c>
      <c r="B2585">
        <v>-149.59767299999999</v>
      </c>
      <c r="C2585">
        <v>-17.022482</v>
      </c>
      <c r="D2585">
        <v>150.75599986320699</v>
      </c>
      <c r="E2585">
        <v>30</v>
      </c>
      <c r="F2585">
        <v>9.2793599917924396</v>
      </c>
    </row>
    <row r="2586" spans="1:6" x14ac:dyDescent="0.2">
      <c r="A2586">
        <v>736787.63710000005</v>
      </c>
      <c r="B2586">
        <v>-149.59768199999999</v>
      </c>
      <c r="C2586">
        <v>-17.022486000000001</v>
      </c>
      <c r="D2586">
        <v>150.75599986320699</v>
      </c>
      <c r="E2586">
        <v>30</v>
      </c>
      <c r="F2586">
        <v>9.2793599917924396</v>
      </c>
    </row>
    <row r="2587" spans="1:6" x14ac:dyDescent="0.2">
      <c r="A2587">
        <v>736787.6372</v>
      </c>
      <c r="B2587">
        <v>-149.5977</v>
      </c>
      <c r="C2587">
        <v>-17.022493000000001</v>
      </c>
      <c r="D2587">
        <v>150.6</v>
      </c>
      <c r="E2587">
        <v>30</v>
      </c>
      <c r="F2587">
        <v>9.27</v>
      </c>
    </row>
    <row r="2588" spans="1:6" x14ac:dyDescent="0.2">
      <c r="A2588">
        <v>736787.6372</v>
      </c>
      <c r="B2588">
        <v>-149.597714</v>
      </c>
      <c r="C2588">
        <v>-17.022497999999999</v>
      </c>
      <c r="D2588">
        <v>150.6</v>
      </c>
      <c r="E2588">
        <v>30</v>
      </c>
      <c r="F2588">
        <v>9.27</v>
      </c>
    </row>
    <row r="2589" spans="1:6" x14ac:dyDescent="0.2">
      <c r="A2589">
        <v>736787.6372</v>
      </c>
      <c r="B2589">
        <v>-149.59772799999999</v>
      </c>
      <c r="C2589">
        <v>-17.022504000000001</v>
      </c>
      <c r="D2589">
        <v>150.6</v>
      </c>
      <c r="E2589">
        <v>30</v>
      </c>
      <c r="F2589">
        <v>9.27</v>
      </c>
    </row>
    <row r="2590" spans="1:6" x14ac:dyDescent="0.2">
      <c r="A2590">
        <v>736787.6372</v>
      </c>
      <c r="B2590">
        <v>-149.597745</v>
      </c>
      <c r="C2590">
        <v>-17.022507000000001</v>
      </c>
      <c r="D2590">
        <v>150.6</v>
      </c>
      <c r="E2590">
        <v>30</v>
      </c>
      <c r="F2590">
        <v>9.27</v>
      </c>
    </row>
    <row r="2591" spans="1:6" x14ac:dyDescent="0.2">
      <c r="A2591">
        <v>736787.6372</v>
      </c>
      <c r="B2591">
        <v>-149.59775400000001</v>
      </c>
      <c r="C2591">
        <v>-17.022511999999999</v>
      </c>
      <c r="D2591">
        <v>150.6</v>
      </c>
      <c r="E2591">
        <v>30</v>
      </c>
      <c r="F2591">
        <v>9.27</v>
      </c>
    </row>
    <row r="2592" spans="1:6" x14ac:dyDescent="0.2">
      <c r="A2592">
        <v>736787.63729999994</v>
      </c>
      <c r="B2592">
        <v>-149.59776500000001</v>
      </c>
      <c r="C2592">
        <v>-17.022516</v>
      </c>
      <c r="D2592">
        <v>150.25680015690901</v>
      </c>
      <c r="E2592">
        <v>30</v>
      </c>
      <c r="F2592">
        <v>9.2471200104606197</v>
      </c>
    </row>
    <row r="2593" spans="1:6" x14ac:dyDescent="0.2">
      <c r="A2593">
        <v>736787.63729999994</v>
      </c>
      <c r="B2593">
        <v>-149.59777600000001</v>
      </c>
      <c r="C2593">
        <v>-17.022525000000002</v>
      </c>
      <c r="D2593">
        <v>150.25680015690901</v>
      </c>
      <c r="E2593">
        <v>30</v>
      </c>
      <c r="F2593">
        <v>9.2471200104606197</v>
      </c>
    </row>
    <row r="2594" spans="1:6" x14ac:dyDescent="0.2">
      <c r="A2594">
        <v>736787.63729999994</v>
      </c>
      <c r="B2594">
        <v>-149.59778600000001</v>
      </c>
      <c r="C2594">
        <v>-17.022528999999999</v>
      </c>
      <c r="D2594">
        <v>150.25680015690901</v>
      </c>
      <c r="E2594">
        <v>30</v>
      </c>
      <c r="F2594">
        <v>9.2471200104606197</v>
      </c>
    </row>
    <row r="2595" spans="1:6" x14ac:dyDescent="0.2">
      <c r="A2595">
        <v>736787.63729999994</v>
      </c>
      <c r="B2595">
        <v>-149.59779700000001</v>
      </c>
      <c r="C2595">
        <v>-17.022532999999999</v>
      </c>
      <c r="D2595">
        <v>150.25680015690901</v>
      </c>
      <c r="E2595">
        <v>30</v>
      </c>
      <c r="F2595">
        <v>9.2471200104606197</v>
      </c>
    </row>
    <row r="2596" spans="1:6" x14ac:dyDescent="0.2">
      <c r="A2596">
        <v>736787.63729999994</v>
      </c>
      <c r="B2596">
        <v>-149.59780699999999</v>
      </c>
      <c r="C2596">
        <v>-17.022538999999998</v>
      </c>
      <c r="D2596">
        <v>150.25680015690901</v>
      </c>
      <c r="E2596">
        <v>30</v>
      </c>
      <c r="F2596">
        <v>9.2471200104606197</v>
      </c>
    </row>
    <row r="2597" spans="1:6" x14ac:dyDescent="0.2">
      <c r="A2597">
        <v>736787.63740000001</v>
      </c>
      <c r="B2597">
        <v>-149.59782200000001</v>
      </c>
      <c r="C2597">
        <v>-17.022542000000001</v>
      </c>
      <c r="D2597">
        <v>150</v>
      </c>
      <c r="E2597">
        <v>30</v>
      </c>
      <c r="F2597">
        <v>9.2387200037014505</v>
      </c>
    </row>
    <row r="2598" spans="1:6" x14ac:dyDescent="0.2">
      <c r="A2598">
        <v>736787.63740000001</v>
      </c>
      <c r="B2598">
        <v>-149.59783200000001</v>
      </c>
      <c r="C2598">
        <v>-17.022545999999998</v>
      </c>
      <c r="D2598">
        <v>150</v>
      </c>
      <c r="E2598">
        <v>30</v>
      </c>
      <c r="F2598">
        <v>9.2387200037014505</v>
      </c>
    </row>
    <row r="2599" spans="1:6" x14ac:dyDescent="0.2">
      <c r="A2599">
        <v>736787.63740000001</v>
      </c>
      <c r="B2599">
        <v>-149.59785099999999</v>
      </c>
      <c r="C2599">
        <v>-17.022548</v>
      </c>
      <c r="D2599">
        <v>150</v>
      </c>
      <c r="E2599">
        <v>30</v>
      </c>
      <c r="F2599">
        <v>9.2387200037014505</v>
      </c>
    </row>
    <row r="2600" spans="1:6" x14ac:dyDescent="0.2">
      <c r="A2600">
        <v>736787.63749999995</v>
      </c>
      <c r="B2600">
        <v>-149.59786299999999</v>
      </c>
      <c r="C2600">
        <v>-17.022556000000002</v>
      </c>
      <c r="D2600">
        <v>149.46000016093299</v>
      </c>
      <c r="E2600">
        <v>30</v>
      </c>
      <c r="F2600">
        <v>9.2020000120699592</v>
      </c>
    </row>
    <row r="2601" spans="1:6" x14ac:dyDescent="0.2">
      <c r="A2601">
        <v>736787.63749999995</v>
      </c>
      <c r="B2601">
        <v>-149.597881</v>
      </c>
      <c r="C2601">
        <v>-17.022558</v>
      </c>
      <c r="D2601">
        <v>149.46000016093299</v>
      </c>
      <c r="E2601">
        <v>30</v>
      </c>
      <c r="F2601">
        <v>9.2020000120699592</v>
      </c>
    </row>
    <row r="2602" spans="1:6" x14ac:dyDescent="0.2">
      <c r="A2602">
        <v>736787.63749999995</v>
      </c>
      <c r="B2602">
        <v>-149.59788800000001</v>
      </c>
      <c r="C2602">
        <v>-17.022561</v>
      </c>
      <c r="D2602">
        <v>149.46000016093299</v>
      </c>
      <c r="E2602">
        <v>30</v>
      </c>
      <c r="F2602">
        <v>9.2020000120699592</v>
      </c>
    </row>
    <row r="2603" spans="1:6" x14ac:dyDescent="0.2">
      <c r="A2603">
        <v>736787.63749999995</v>
      </c>
      <c r="B2603">
        <v>-149.597904</v>
      </c>
      <c r="C2603">
        <v>-17.022561</v>
      </c>
      <c r="D2603">
        <v>149.46000016093299</v>
      </c>
      <c r="E2603">
        <v>30</v>
      </c>
      <c r="F2603">
        <v>9.2020000120699592</v>
      </c>
    </row>
    <row r="2604" spans="1:6" x14ac:dyDescent="0.2">
      <c r="A2604">
        <v>736787.63749999995</v>
      </c>
      <c r="B2604">
        <v>-149.59791999999999</v>
      </c>
      <c r="C2604">
        <v>-17.022568</v>
      </c>
      <c r="D2604">
        <v>149.46000016093299</v>
      </c>
      <c r="E2604">
        <v>30</v>
      </c>
      <c r="F2604">
        <v>9.2020000120699592</v>
      </c>
    </row>
    <row r="2605" spans="1:6" x14ac:dyDescent="0.2">
      <c r="A2605">
        <v>736787.63760000002</v>
      </c>
      <c r="B2605">
        <v>-149.597938</v>
      </c>
      <c r="C2605">
        <v>-17.022570000000002</v>
      </c>
      <c r="D2605">
        <v>149</v>
      </c>
      <c r="E2605">
        <v>29.9671999565482</v>
      </c>
      <c r="F2605">
        <v>9.18</v>
      </c>
    </row>
    <row r="2606" spans="1:6" x14ac:dyDescent="0.2">
      <c r="A2606">
        <v>736787.63760000002</v>
      </c>
      <c r="B2606">
        <v>-149.597948</v>
      </c>
      <c r="C2606">
        <v>-17.022575</v>
      </c>
      <c r="D2606">
        <v>149</v>
      </c>
      <c r="E2606">
        <v>29.9671999565482</v>
      </c>
      <c r="F2606">
        <v>9.18</v>
      </c>
    </row>
    <row r="2607" spans="1:6" x14ac:dyDescent="0.2">
      <c r="A2607">
        <v>736787.63760000002</v>
      </c>
      <c r="B2607">
        <v>-149.59796600000001</v>
      </c>
      <c r="C2607">
        <v>-17.022589</v>
      </c>
      <c r="D2607">
        <v>149</v>
      </c>
      <c r="E2607">
        <v>29.9671999565482</v>
      </c>
      <c r="F2607">
        <v>9.18</v>
      </c>
    </row>
    <row r="2608" spans="1:6" x14ac:dyDescent="0.2">
      <c r="A2608">
        <v>736787.63760000002</v>
      </c>
      <c r="B2608">
        <v>-149.59798000000001</v>
      </c>
      <c r="C2608">
        <v>-17.022594000000002</v>
      </c>
      <c r="D2608">
        <v>149</v>
      </c>
      <c r="E2608">
        <v>29.9671999565482</v>
      </c>
      <c r="F2608">
        <v>9.18</v>
      </c>
    </row>
    <row r="2609" spans="1:6" x14ac:dyDescent="0.2">
      <c r="A2609">
        <v>736787.63760000002</v>
      </c>
      <c r="B2609">
        <v>-149.597992</v>
      </c>
      <c r="C2609">
        <v>-17.022594999999999</v>
      </c>
      <c r="D2609">
        <v>149</v>
      </c>
      <c r="E2609">
        <v>29.9671999565482</v>
      </c>
      <c r="F2609">
        <v>9.18</v>
      </c>
    </row>
    <row r="2610" spans="1:6" x14ac:dyDescent="0.2">
      <c r="A2610">
        <v>736787.63769999996</v>
      </c>
      <c r="B2610">
        <v>-149.59800799999999</v>
      </c>
      <c r="C2610">
        <v>-17.022596</v>
      </c>
      <c r="D2610">
        <v>149.17760057292099</v>
      </c>
      <c r="E2610">
        <v>29.9</v>
      </c>
      <c r="F2610">
        <v>9.1888800286460306</v>
      </c>
    </row>
    <row r="2611" spans="1:6" x14ac:dyDescent="0.2">
      <c r="A2611">
        <v>736787.63769999996</v>
      </c>
      <c r="B2611">
        <v>-149.59801999999999</v>
      </c>
      <c r="C2611">
        <v>-17.022597000000001</v>
      </c>
      <c r="D2611">
        <v>149.17760057292099</v>
      </c>
      <c r="E2611">
        <v>29.9</v>
      </c>
      <c r="F2611">
        <v>9.1888800286460306</v>
      </c>
    </row>
    <row r="2612" spans="1:6" x14ac:dyDescent="0.2">
      <c r="A2612">
        <v>736787.63769999996</v>
      </c>
      <c r="B2612">
        <v>-149.59802999999999</v>
      </c>
      <c r="C2612">
        <v>-17.022601999999999</v>
      </c>
      <c r="D2612">
        <v>149.17760057292099</v>
      </c>
      <c r="E2612">
        <v>29.9</v>
      </c>
      <c r="F2612">
        <v>9.1888800286460306</v>
      </c>
    </row>
    <row r="2613" spans="1:6" x14ac:dyDescent="0.2">
      <c r="A2613">
        <v>736787.63769999996</v>
      </c>
      <c r="B2613">
        <v>-149.59804600000001</v>
      </c>
      <c r="C2613">
        <v>-17.022608000000002</v>
      </c>
      <c r="D2613">
        <v>149.17760057292099</v>
      </c>
      <c r="E2613">
        <v>29.9</v>
      </c>
      <c r="F2613">
        <v>9.1888800286460306</v>
      </c>
    </row>
    <row r="2614" spans="1:6" x14ac:dyDescent="0.2">
      <c r="A2614">
        <v>736787.63769999996</v>
      </c>
      <c r="B2614">
        <v>-149.59806</v>
      </c>
      <c r="C2614">
        <v>-17.02261</v>
      </c>
      <c r="D2614">
        <v>149.17760057292099</v>
      </c>
      <c r="E2614">
        <v>29.9</v>
      </c>
      <c r="F2614">
        <v>9.1888800286460306</v>
      </c>
    </row>
    <row r="2615" spans="1:6" x14ac:dyDescent="0.2">
      <c r="A2615">
        <v>736787.63780000003</v>
      </c>
      <c r="B2615">
        <v>-149.59806399999999</v>
      </c>
      <c r="C2615">
        <v>-17.022618999999999</v>
      </c>
      <c r="D2615">
        <v>148.80000000000001</v>
      </c>
      <c r="E2615">
        <v>29.9</v>
      </c>
      <c r="F2615">
        <v>9.17</v>
      </c>
    </row>
    <row r="2616" spans="1:6" x14ac:dyDescent="0.2">
      <c r="A2616">
        <v>736787.63780000003</v>
      </c>
      <c r="B2616">
        <v>-149.59807799999999</v>
      </c>
      <c r="C2616">
        <v>-17.022621999999998</v>
      </c>
      <c r="D2616">
        <v>148.80000000000001</v>
      </c>
      <c r="E2616">
        <v>29.9</v>
      </c>
      <c r="F2616">
        <v>9.17</v>
      </c>
    </row>
    <row r="2617" spans="1:6" x14ac:dyDescent="0.2">
      <c r="A2617">
        <v>736787.63780000003</v>
      </c>
      <c r="B2617">
        <v>-149.598096</v>
      </c>
      <c r="C2617">
        <v>-17.022625000000001</v>
      </c>
      <c r="D2617">
        <v>148.80000000000001</v>
      </c>
      <c r="E2617">
        <v>29.9</v>
      </c>
      <c r="F2617">
        <v>9.17</v>
      </c>
    </row>
    <row r="2618" spans="1:6" x14ac:dyDescent="0.2">
      <c r="A2618">
        <v>736787.63780000003</v>
      </c>
      <c r="B2618">
        <v>-149.598108</v>
      </c>
      <c r="C2618">
        <v>-17.022635000000001</v>
      </c>
      <c r="D2618">
        <v>148.80000000000001</v>
      </c>
      <c r="E2618">
        <v>29.9</v>
      </c>
      <c r="F2618">
        <v>9.17</v>
      </c>
    </row>
    <row r="2619" spans="1:6" x14ac:dyDescent="0.2">
      <c r="A2619">
        <v>736787.63780000003</v>
      </c>
      <c r="B2619">
        <v>-149.59811999999999</v>
      </c>
      <c r="C2619">
        <v>-17.022638000000001</v>
      </c>
      <c r="D2619">
        <v>148.80000000000001</v>
      </c>
      <c r="E2619">
        <v>29.9</v>
      </c>
      <c r="F2619">
        <v>9.17</v>
      </c>
    </row>
    <row r="2620" spans="1:6" x14ac:dyDescent="0.2">
      <c r="A2620">
        <v>736787.63780000003</v>
      </c>
      <c r="B2620">
        <v>-149.59813</v>
      </c>
      <c r="C2620">
        <v>-17.022641</v>
      </c>
      <c r="D2620">
        <v>148.80000000000001</v>
      </c>
      <c r="E2620">
        <v>29.9</v>
      </c>
      <c r="F2620">
        <v>9.17</v>
      </c>
    </row>
    <row r="2621" spans="1:6" x14ac:dyDescent="0.2">
      <c r="A2621">
        <v>736787.63789999997</v>
      </c>
      <c r="B2621">
        <v>-149.59813800000001</v>
      </c>
      <c r="C2621">
        <v>-17.022644</v>
      </c>
      <c r="D2621">
        <v>148.84880004506101</v>
      </c>
      <c r="E2621">
        <v>29.9</v>
      </c>
      <c r="F2621">
        <v>9.17</v>
      </c>
    </row>
    <row r="2622" spans="1:6" x14ac:dyDescent="0.2">
      <c r="A2622">
        <v>736787.63789999997</v>
      </c>
      <c r="B2622">
        <v>-149.59815</v>
      </c>
      <c r="C2622">
        <v>-17.022646000000002</v>
      </c>
      <c r="D2622">
        <v>148.84880004506101</v>
      </c>
      <c r="E2622">
        <v>29.9</v>
      </c>
      <c r="F2622">
        <v>9.17</v>
      </c>
    </row>
    <row r="2623" spans="1:6" x14ac:dyDescent="0.2">
      <c r="A2623">
        <v>736787.63789999997</v>
      </c>
      <c r="B2623">
        <v>-149.598162</v>
      </c>
      <c r="C2623">
        <v>-17.022651</v>
      </c>
      <c r="D2623">
        <v>148.84880004506101</v>
      </c>
      <c r="E2623">
        <v>29.9</v>
      </c>
      <c r="F2623">
        <v>9.17</v>
      </c>
    </row>
    <row r="2624" spans="1:6" x14ac:dyDescent="0.2">
      <c r="A2624">
        <v>736787.63789999997</v>
      </c>
      <c r="B2624">
        <v>-149.598174</v>
      </c>
      <c r="C2624">
        <v>-17.022655</v>
      </c>
      <c r="D2624">
        <v>148.84880004506101</v>
      </c>
      <c r="E2624">
        <v>29.9</v>
      </c>
      <c r="F2624">
        <v>9.17</v>
      </c>
    </row>
    <row r="2625" spans="1:6" x14ac:dyDescent="0.2">
      <c r="A2625">
        <v>736787.63789999997</v>
      </c>
      <c r="B2625">
        <v>-149.598186</v>
      </c>
      <c r="C2625">
        <v>-17.022652999999998</v>
      </c>
      <c r="D2625">
        <v>148.84880004506101</v>
      </c>
      <c r="E2625">
        <v>29.9</v>
      </c>
      <c r="F2625">
        <v>9.17</v>
      </c>
    </row>
    <row r="2626" spans="1:6" x14ac:dyDescent="0.2">
      <c r="A2626">
        <v>736787.63789999997</v>
      </c>
      <c r="B2626">
        <v>-149.598196</v>
      </c>
      <c r="C2626">
        <v>-17.022652000000001</v>
      </c>
      <c r="D2626">
        <v>148.84880004506101</v>
      </c>
      <c r="E2626">
        <v>29.9</v>
      </c>
      <c r="F2626">
        <v>9.17</v>
      </c>
    </row>
    <row r="2627" spans="1:6" x14ac:dyDescent="0.2">
      <c r="A2627">
        <v>736787.63789999997</v>
      </c>
      <c r="B2627">
        <v>-149.598208</v>
      </c>
      <c r="C2627">
        <v>-17.022652999999998</v>
      </c>
      <c r="D2627">
        <v>148.84880004506101</v>
      </c>
      <c r="E2627">
        <v>29.9</v>
      </c>
      <c r="F2627">
        <v>9.17</v>
      </c>
    </row>
    <row r="2628" spans="1:6" x14ac:dyDescent="0.2">
      <c r="A2628">
        <v>736787.63789999997</v>
      </c>
      <c r="B2628">
        <v>-149.598218</v>
      </c>
      <c r="C2628">
        <v>-17.022653999999999</v>
      </c>
      <c r="D2628">
        <v>148.84880004506101</v>
      </c>
      <c r="E2628">
        <v>29.9</v>
      </c>
      <c r="F2628">
        <v>9.17</v>
      </c>
    </row>
    <row r="2629" spans="1:6" x14ac:dyDescent="0.2">
      <c r="A2629">
        <v>736787.63800000004</v>
      </c>
      <c r="B2629">
        <v>-149.59822800000001</v>
      </c>
      <c r="C2629">
        <v>-17.022653999999999</v>
      </c>
      <c r="D2629">
        <v>149.06800039428401</v>
      </c>
      <c r="E2629">
        <v>29.9</v>
      </c>
      <c r="F2629">
        <v>9.1896000225305396</v>
      </c>
    </row>
    <row r="2630" spans="1:6" x14ac:dyDescent="0.2">
      <c r="A2630">
        <v>736787.63800000004</v>
      </c>
      <c r="B2630">
        <v>-149.59824399999999</v>
      </c>
      <c r="C2630">
        <v>-17.022649999999999</v>
      </c>
      <c r="D2630">
        <v>149.06800039428401</v>
      </c>
      <c r="E2630">
        <v>29.9</v>
      </c>
      <c r="F2630">
        <v>9.1896000225305396</v>
      </c>
    </row>
    <row r="2631" spans="1:6" x14ac:dyDescent="0.2">
      <c r="A2631">
        <v>736787.63800000004</v>
      </c>
      <c r="B2631">
        <v>-149.598254</v>
      </c>
      <c r="C2631">
        <v>-17.022651</v>
      </c>
      <c r="D2631">
        <v>149.06800039428401</v>
      </c>
      <c r="E2631">
        <v>29.9</v>
      </c>
      <c r="F2631">
        <v>9.1896000225305396</v>
      </c>
    </row>
    <row r="2632" spans="1:6" x14ac:dyDescent="0.2">
      <c r="A2632">
        <v>736787.63800000004</v>
      </c>
      <c r="B2632">
        <v>-149.598274</v>
      </c>
      <c r="C2632">
        <v>-17.022655</v>
      </c>
      <c r="D2632">
        <v>149.06800039428401</v>
      </c>
      <c r="E2632">
        <v>29.9</v>
      </c>
      <c r="F2632">
        <v>9.1896000225305396</v>
      </c>
    </row>
    <row r="2633" spans="1:6" x14ac:dyDescent="0.2">
      <c r="A2633">
        <v>736787.63800000004</v>
      </c>
      <c r="B2633">
        <v>-149.598286</v>
      </c>
      <c r="C2633">
        <v>-17.022656000000001</v>
      </c>
      <c r="D2633">
        <v>149.06800039428401</v>
      </c>
      <c r="E2633">
        <v>29.9</v>
      </c>
      <c r="F2633">
        <v>9.1896000225305396</v>
      </c>
    </row>
    <row r="2634" spans="1:6" x14ac:dyDescent="0.2">
      <c r="A2634">
        <v>736787.63809999998</v>
      </c>
      <c r="B2634">
        <v>-149.59829999999999</v>
      </c>
      <c r="C2634">
        <v>-17.022665</v>
      </c>
      <c r="D2634">
        <v>148.72879952202999</v>
      </c>
      <c r="E2634">
        <v>29.9</v>
      </c>
      <c r="F2634">
        <v>9.1715999734460905</v>
      </c>
    </row>
    <row r="2635" spans="1:6" x14ac:dyDescent="0.2">
      <c r="A2635">
        <v>736787.63809999998</v>
      </c>
      <c r="B2635">
        <v>-149.59831199999999</v>
      </c>
      <c r="C2635">
        <v>-17.022669</v>
      </c>
      <c r="D2635">
        <v>148.72879952202999</v>
      </c>
      <c r="E2635">
        <v>29.9</v>
      </c>
      <c r="F2635">
        <v>9.1715999734460905</v>
      </c>
    </row>
    <row r="2636" spans="1:6" x14ac:dyDescent="0.2">
      <c r="A2636">
        <v>736787.63809999998</v>
      </c>
      <c r="B2636">
        <v>-149.59833399999999</v>
      </c>
      <c r="C2636">
        <v>-17.022676000000001</v>
      </c>
      <c r="D2636">
        <v>148.72879952202999</v>
      </c>
      <c r="E2636">
        <v>29.9</v>
      </c>
      <c r="F2636">
        <v>9.1715999734460905</v>
      </c>
    </row>
    <row r="2637" spans="1:6" x14ac:dyDescent="0.2">
      <c r="A2637">
        <v>736787.63809999998</v>
      </c>
      <c r="B2637">
        <v>-149.59834599999999</v>
      </c>
      <c r="C2637">
        <v>-17.022673000000001</v>
      </c>
      <c r="D2637">
        <v>148.72879952202999</v>
      </c>
      <c r="E2637">
        <v>29.9</v>
      </c>
      <c r="F2637">
        <v>9.1715999734460905</v>
      </c>
    </row>
    <row r="2638" spans="1:6" x14ac:dyDescent="0.2">
      <c r="A2638">
        <v>736787.63809999998</v>
      </c>
      <c r="B2638">
        <v>-149.59836000000001</v>
      </c>
      <c r="C2638">
        <v>-17.022675</v>
      </c>
      <c r="D2638">
        <v>148.72879952202999</v>
      </c>
      <c r="E2638">
        <v>29.9</v>
      </c>
      <c r="F2638">
        <v>9.1715999734460905</v>
      </c>
    </row>
    <row r="2639" spans="1:6" x14ac:dyDescent="0.2">
      <c r="A2639">
        <v>736787.63809999998</v>
      </c>
      <c r="B2639">
        <v>-149.59836999999999</v>
      </c>
      <c r="C2639">
        <v>-17.022675</v>
      </c>
      <c r="D2639">
        <v>148.72879952202999</v>
      </c>
      <c r="E2639">
        <v>29.9</v>
      </c>
      <c r="F2639">
        <v>9.1715999734460905</v>
      </c>
    </row>
    <row r="2640" spans="1:6" x14ac:dyDescent="0.2">
      <c r="A2640">
        <v>736787.63820000004</v>
      </c>
      <c r="B2640">
        <v>-149.59838999999999</v>
      </c>
      <c r="C2640">
        <v>-17.022673999999999</v>
      </c>
      <c r="D2640">
        <v>148.49119981170901</v>
      </c>
      <c r="E2640">
        <v>29.9</v>
      </c>
      <c r="F2640">
        <v>9.1560799874472707</v>
      </c>
    </row>
    <row r="2641" spans="1:6" x14ac:dyDescent="0.2">
      <c r="A2641">
        <v>736787.63820000004</v>
      </c>
      <c r="B2641">
        <v>-149.5984</v>
      </c>
      <c r="C2641">
        <v>-17.022679</v>
      </c>
      <c r="D2641">
        <v>148.49119981170901</v>
      </c>
      <c r="E2641">
        <v>29.9</v>
      </c>
      <c r="F2641">
        <v>9.1560799874472707</v>
      </c>
    </row>
    <row r="2642" spans="1:6" x14ac:dyDescent="0.2">
      <c r="A2642">
        <v>736787.63820000004</v>
      </c>
      <c r="B2642">
        <v>-149.59840199999999</v>
      </c>
      <c r="C2642">
        <v>-17.022682</v>
      </c>
      <c r="D2642">
        <v>148.49119981170901</v>
      </c>
      <c r="E2642">
        <v>29.9</v>
      </c>
      <c r="F2642">
        <v>9.1560799874472707</v>
      </c>
    </row>
    <row r="2643" spans="1:6" x14ac:dyDescent="0.2">
      <c r="A2643">
        <v>736787.63820000004</v>
      </c>
      <c r="B2643">
        <v>-149.59842</v>
      </c>
      <c r="C2643">
        <v>-17.022687999999999</v>
      </c>
      <c r="D2643">
        <v>148.49119981170901</v>
      </c>
      <c r="E2643">
        <v>29.9</v>
      </c>
      <c r="F2643">
        <v>9.1560799874472707</v>
      </c>
    </row>
    <row r="2644" spans="1:6" x14ac:dyDescent="0.2">
      <c r="A2644">
        <v>736787.63820000004</v>
      </c>
      <c r="B2644">
        <v>-149.59843000000001</v>
      </c>
      <c r="C2644">
        <v>-17.022694999999999</v>
      </c>
      <c r="D2644">
        <v>148.49119981170901</v>
      </c>
      <c r="E2644">
        <v>29.9</v>
      </c>
      <c r="F2644">
        <v>9.1560799874472707</v>
      </c>
    </row>
    <row r="2645" spans="1:6" x14ac:dyDescent="0.2">
      <c r="A2645">
        <v>736787.63820000004</v>
      </c>
      <c r="B2645">
        <v>-149.59844799999999</v>
      </c>
      <c r="C2645">
        <v>-17.022701999999999</v>
      </c>
      <c r="D2645">
        <v>148.49119981170901</v>
      </c>
      <c r="E2645">
        <v>29.9</v>
      </c>
      <c r="F2645">
        <v>9.1560799874472707</v>
      </c>
    </row>
    <row r="2646" spans="1:6" x14ac:dyDescent="0.2">
      <c r="A2646">
        <v>736787.63829999999</v>
      </c>
      <c r="B2646">
        <v>-149.59846200000001</v>
      </c>
      <c r="C2646">
        <v>-17.022707</v>
      </c>
      <c r="D2646">
        <v>146.06400074833701</v>
      </c>
      <c r="E2646">
        <v>29.8</v>
      </c>
      <c r="F2646">
        <v>9.0118400449002394</v>
      </c>
    </row>
    <row r="2647" spans="1:6" x14ac:dyDescent="0.2">
      <c r="A2647">
        <v>736787.63829999999</v>
      </c>
      <c r="B2647">
        <v>-149.59848299999999</v>
      </c>
      <c r="C2647">
        <v>-17.022715999999999</v>
      </c>
      <c r="D2647">
        <v>146.06400074833701</v>
      </c>
      <c r="E2647">
        <v>29.8</v>
      </c>
      <c r="F2647">
        <v>9.0118400449002394</v>
      </c>
    </row>
    <row r="2648" spans="1:6" x14ac:dyDescent="0.2">
      <c r="A2648">
        <v>736787.63829999999</v>
      </c>
      <c r="B2648">
        <v>-149.598499</v>
      </c>
      <c r="C2648">
        <v>-17.022721000000001</v>
      </c>
      <c r="D2648">
        <v>146.06400074833701</v>
      </c>
      <c r="E2648">
        <v>29.8</v>
      </c>
      <c r="F2648">
        <v>9.0118400449002394</v>
      </c>
    </row>
    <row r="2649" spans="1:6" x14ac:dyDescent="0.2">
      <c r="A2649">
        <v>736787.63829999999</v>
      </c>
      <c r="B2649">
        <v>-149.59850700000001</v>
      </c>
      <c r="C2649">
        <v>-17.022725999999999</v>
      </c>
      <c r="D2649">
        <v>146.06400074833701</v>
      </c>
      <c r="E2649">
        <v>29.8</v>
      </c>
      <c r="F2649">
        <v>9.0118400449002394</v>
      </c>
    </row>
    <row r="2650" spans="1:6" x14ac:dyDescent="0.2">
      <c r="A2650">
        <v>736787.63829999999</v>
      </c>
      <c r="B2650">
        <v>-149.598522</v>
      </c>
      <c r="C2650">
        <v>-17.022735999999998</v>
      </c>
      <c r="D2650">
        <v>146.06400074833701</v>
      </c>
      <c r="E2650">
        <v>29.8</v>
      </c>
      <c r="F2650">
        <v>9.0118400449002394</v>
      </c>
    </row>
    <row r="2651" spans="1:6" x14ac:dyDescent="0.2">
      <c r="A2651">
        <v>736787.63829999999</v>
      </c>
      <c r="B2651">
        <v>-149.59853899999999</v>
      </c>
      <c r="C2651">
        <v>-17.022748</v>
      </c>
      <c r="D2651">
        <v>146.06400074833701</v>
      </c>
      <c r="E2651">
        <v>29.8</v>
      </c>
      <c r="F2651">
        <v>9.0118400449002394</v>
      </c>
    </row>
    <row r="2652" spans="1:6" x14ac:dyDescent="0.2">
      <c r="A2652">
        <v>736787.63840000005</v>
      </c>
      <c r="B2652">
        <v>-149.59854100000001</v>
      </c>
      <c r="C2652">
        <v>-17.022759000000001</v>
      </c>
      <c r="D2652">
        <v>145.002399100388</v>
      </c>
      <c r="E2652">
        <v>29.8</v>
      </c>
      <c r="F2652">
        <v>8.9478399446392398</v>
      </c>
    </row>
    <row r="2653" spans="1:6" x14ac:dyDescent="0.2">
      <c r="A2653">
        <v>736787.63840000005</v>
      </c>
      <c r="B2653">
        <v>-149.59855099999999</v>
      </c>
      <c r="C2653">
        <v>-17.022770999999999</v>
      </c>
      <c r="D2653">
        <v>145.002399100388</v>
      </c>
      <c r="E2653">
        <v>29.8</v>
      </c>
      <c r="F2653">
        <v>8.9478399446392398</v>
      </c>
    </row>
    <row r="2654" spans="1:6" x14ac:dyDescent="0.2">
      <c r="A2654">
        <v>736787.63840000005</v>
      </c>
      <c r="B2654">
        <v>-149.59855899999999</v>
      </c>
      <c r="C2654">
        <v>-17.022780999999998</v>
      </c>
      <c r="D2654">
        <v>145.002399100388</v>
      </c>
      <c r="E2654">
        <v>29.8</v>
      </c>
      <c r="F2654">
        <v>8.9478399446392398</v>
      </c>
    </row>
    <row r="2655" spans="1:6" x14ac:dyDescent="0.2">
      <c r="A2655">
        <v>736787.63840000005</v>
      </c>
      <c r="B2655">
        <v>-149.598567</v>
      </c>
      <c r="C2655">
        <v>-17.022796</v>
      </c>
      <c r="D2655">
        <v>145.002399100388</v>
      </c>
      <c r="E2655">
        <v>29.8</v>
      </c>
      <c r="F2655">
        <v>8.9478399446392398</v>
      </c>
    </row>
    <row r="2656" spans="1:6" x14ac:dyDescent="0.2">
      <c r="A2656">
        <v>736787.63840000005</v>
      </c>
      <c r="B2656">
        <v>-149.59857199999999</v>
      </c>
      <c r="C2656">
        <v>-17.022808000000001</v>
      </c>
      <c r="D2656">
        <v>145.002399100388</v>
      </c>
      <c r="E2656">
        <v>29.8</v>
      </c>
      <c r="F2656">
        <v>8.9478399446392398</v>
      </c>
    </row>
    <row r="2657" spans="1:6" x14ac:dyDescent="0.2">
      <c r="A2657">
        <v>736787.63840000005</v>
      </c>
      <c r="B2657">
        <v>-149.598578</v>
      </c>
      <c r="C2657">
        <v>-17.022818999999998</v>
      </c>
      <c r="D2657">
        <v>145.002399100388</v>
      </c>
      <c r="E2657">
        <v>29.8</v>
      </c>
      <c r="F2657">
        <v>8.9478399446392398</v>
      </c>
    </row>
    <row r="2658" spans="1:6" x14ac:dyDescent="0.2">
      <c r="A2658">
        <v>736787.6385</v>
      </c>
      <c r="B2658">
        <v>-149.598592</v>
      </c>
      <c r="C2658">
        <v>-17.022829000000002</v>
      </c>
      <c r="D2658">
        <v>143.54799980688099</v>
      </c>
      <c r="E2658">
        <v>29.8</v>
      </c>
      <c r="F2658">
        <v>8.8623999903440307</v>
      </c>
    </row>
    <row r="2659" spans="1:6" x14ac:dyDescent="0.2">
      <c r="A2659">
        <v>736787.6385</v>
      </c>
      <c r="B2659">
        <v>-149.598601</v>
      </c>
      <c r="C2659">
        <v>-17.022835000000001</v>
      </c>
      <c r="D2659">
        <v>143.54799980688099</v>
      </c>
      <c r="E2659">
        <v>29.8</v>
      </c>
      <c r="F2659">
        <v>8.8623999903440307</v>
      </c>
    </row>
    <row r="2660" spans="1:6" x14ac:dyDescent="0.2">
      <c r="A2660">
        <v>736787.6385</v>
      </c>
      <c r="B2660">
        <v>-149.59860599999999</v>
      </c>
      <c r="C2660">
        <v>-17.022843000000002</v>
      </c>
      <c r="D2660">
        <v>143.54799980688099</v>
      </c>
      <c r="E2660">
        <v>29.8</v>
      </c>
      <c r="F2660">
        <v>8.8623999903440307</v>
      </c>
    </row>
    <row r="2661" spans="1:6" x14ac:dyDescent="0.2">
      <c r="A2661">
        <v>736787.6385</v>
      </c>
      <c r="B2661">
        <v>-149.59861599999999</v>
      </c>
      <c r="C2661">
        <v>-17.022843999999999</v>
      </c>
      <c r="D2661">
        <v>143.54799980688099</v>
      </c>
      <c r="E2661">
        <v>29.8</v>
      </c>
      <c r="F2661">
        <v>8.8623999903440307</v>
      </c>
    </row>
    <row r="2662" spans="1:6" x14ac:dyDescent="0.2">
      <c r="A2662">
        <v>736787.6385</v>
      </c>
      <c r="B2662">
        <v>-149.59863100000001</v>
      </c>
      <c r="C2662">
        <v>-17.022849000000001</v>
      </c>
      <c r="D2662">
        <v>143.54799980688099</v>
      </c>
      <c r="E2662">
        <v>29.8</v>
      </c>
      <c r="F2662">
        <v>8.8623999903440307</v>
      </c>
    </row>
    <row r="2663" spans="1:6" x14ac:dyDescent="0.2">
      <c r="A2663">
        <v>736787.6385</v>
      </c>
      <c r="B2663">
        <v>-149.598648</v>
      </c>
      <c r="C2663">
        <v>-17.022856999999998</v>
      </c>
      <c r="D2663">
        <v>143.54799980688099</v>
      </c>
      <c r="E2663">
        <v>29.8</v>
      </c>
      <c r="F2663">
        <v>8.8623999903440307</v>
      </c>
    </row>
    <row r="2664" spans="1:6" x14ac:dyDescent="0.2">
      <c r="A2664">
        <v>736787.6385</v>
      </c>
      <c r="B2664">
        <v>-149.59866299999999</v>
      </c>
      <c r="C2664">
        <v>-17.022860999999999</v>
      </c>
      <c r="D2664">
        <v>143.54799980688099</v>
      </c>
      <c r="E2664">
        <v>29.8</v>
      </c>
      <c r="F2664">
        <v>8.8623999903440307</v>
      </c>
    </row>
    <row r="2665" spans="1:6" x14ac:dyDescent="0.2">
      <c r="A2665">
        <v>736787.63859999995</v>
      </c>
      <c r="B2665">
        <v>-149.59868</v>
      </c>
      <c r="C2665">
        <v>-17.022867000000002</v>
      </c>
      <c r="D2665">
        <v>143.80399937236299</v>
      </c>
      <c r="E2665">
        <v>29.8</v>
      </c>
      <c r="F2665">
        <v>8.8782399623418105</v>
      </c>
    </row>
    <row r="2666" spans="1:6" x14ac:dyDescent="0.2">
      <c r="A2666">
        <v>736787.63859999995</v>
      </c>
      <c r="B2666">
        <v>-149.598693</v>
      </c>
      <c r="C2666">
        <v>-17.022870999999999</v>
      </c>
      <c r="D2666">
        <v>143.80399937236299</v>
      </c>
      <c r="E2666">
        <v>29.8</v>
      </c>
      <c r="F2666">
        <v>8.8782399623418105</v>
      </c>
    </row>
    <row r="2667" spans="1:6" x14ac:dyDescent="0.2">
      <c r="A2667">
        <v>736787.63859999995</v>
      </c>
      <c r="B2667">
        <v>-149.59870599999999</v>
      </c>
      <c r="C2667">
        <v>-17.022877999999999</v>
      </c>
      <c r="D2667">
        <v>143.80399937236299</v>
      </c>
      <c r="E2667">
        <v>29.8</v>
      </c>
      <c r="F2667">
        <v>8.8782399623418105</v>
      </c>
    </row>
    <row r="2668" spans="1:6" x14ac:dyDescent="0.2">
      <c r="A2668">
        <v>736787.63859999995</v>
      </c>
      <c r="B2668">
        <v>-149.598716</v>
      </c>
      <c r="C2668">
        <v>-17.022887999999998</v>
      </c>
      <c r="D2668">
        <v>143.80399937236299</v>
      </c>
      <c r="E2668">
        <v>29.8</v>
      </c>
      <c r="F2668">
        <v>8.8782399623418105</v>
      </c>
    </row>
    <row r="2669" spans="1:6" x14ac:dyDescent="0.2">
      <c r="A2669">
        <v>736787.63859999995</v>
      </c>
      <c r="B2669">
        <v>-149.598726</v>
      </c>
      <c r="C2669">
        <v>-17.022894999999998</v>
      </c>
      <c r="D2669">
        <v>143.80399937236299</v>
      </c>
      <c r="E2669">
        <v>29.8</v>
      </c>
      <c r="F2669">
        <v>8.8782399623418105</v>
      </c>
    </row>
    <row r="2670" spans="1:6" x14ac:dyDescent="0.2">
      <c r="A2670">
        <v>736787.63870000001</v>
      </c>
      <c r="B2670">
        <v>-149.59873200000001</v>
      </c>
      <c r="C2670">
        <v>-17.022904</v>
      </c>
      <c r="D2670">
        <v>144.1</v>
      </c>
      <c r="E2670">
        <v>29.8</v>
      </c>
      <c r="F2670">
        <v>8.9</v>
      </c>
    </row>
    <row r="2671" spans="1:6" x14ac:dyDescent="0.2">
      <c r="A2671">
        <v>736787.63870000001</v>
      </c>
      <c r="B2671">
        <v>-149.598738</v>
      </c>
      <c r="C2671">
        <v>-17.022914</v>
      </c>
      <c r="D2671">
        <v>144.1</v>
      </c>
      <c r="E2671">
        <v>29.8</v>
      </c>
      <c r="F2671">
        <v>8.9</v>
      </c>
    </row>
    <row r="2672" spans="1:6" x14ac:dyDescent="0.2">
      <c r="A2672">
        <v>736787.63870000001</v>
      </c>
      <c r="B2672">
        <v>-149.598748</v>
      </c>
      <c r="C2672">
        <v>-17.022922000000001</v>
      </c>
      <c r="D2672">
        <v>144.1</v>
      </c>
      <c r="E2672">
        <v>29.8</v>
      </c>
      <c r="F2672">
        <v>8.9</v>
      </c>
    </row>
    <row r="2673" spans="1:6" x14ac:dyDescent="0.2">
      <c r="A2673">
        <v>736787.63870000001</v>
      </c>
      <c r="B2673">
        <v>-149.59875500000001</v>
      </c>
      <c r="C2673">
        <v>-17.022928</v>
      </c>
      <c r="D2673">
        <v>144.1</v>
      </c>
      <c r="E2673">
        <v>29.8</v>
      </c>
      <c r="F2673">
        <v>8.9</v>
      </c>
    </row>
    <row r="2674" spans="1:6" x14ac:dyDescent="0.2">
      <c r="A2674">
        <v>736787.63870000001</v>
      </c>
      <c r="B2674">
        <v>-149.59876199999999</v>
      </c>
      <c r="C2674">
        <v>-17.022936000000001</v>
      </c>
      <c r="D2674">
        <v>144.1</v>
      </c>
      <c r="E2674">
        <v>29.8</v>
      </c>
      <c r="F2674">
        <v>8.9</v>
      </c>
    </row>
    <row r="2675" spans="1:6" x14ac:dyDescent="0.2">
      <c r="A2675">
        <v>736787.63870000001</v>
      </c>
      <c r="B2675">
        <v>-149.59877</v>
      </c>
      <c r="C2675">
        <v>-17.022943000000001</v>
      </c>
      <c r="D2675">
        <v>144.1</v>
      </c>
      <c r="E2675">
        <v>29.8</v>
      </c>
      <c r="F2675">
        <v>8.9</v>
      </c>
    </row>
    <row r="2676" spans="1:6" x14ac:dyDescent="0.2">
      <c r="A2676">
        <v>736787.63870000001</v>
      </c>
      <c r="B2676">
        <v>-149.598783</v>
      </c>
      <c r="C2676">
        <v>-17.022950000000002</v>
      </c>
      <c r="D2676">
        <v>144.1</v>
      </c>
      <c r="E2676">
        <v>29.8</v>
      </c>
      <c r="F2676">
        <v>8.9</v>
      </c>
    </row>
    <row r="2677" spans="1:6" x14ac:dyDescent="0.2">
      <c r="A2677">
        <v>736787.63879999996</v>
      </c>
      <c r="B2677">
        <v>-149.598794</v>
      </c>
      <c r="C2677">
        <v>-17.022953999999999</v>
      </c>
      <c r="D2677">
        <v>143.12960130998999</v>
      </c>
      <c r="E2677">
        <v>29.793600119090001</v>
      </c>
      <c r="F2677">
        <v>8.8455200833630094</v>
      </c>
    </row>
    <row r="2678" spans="1:6" x14ac:dyDescent="0.2">
      <c r="A2678">
        <v>736787.63879999996</v>
      </c>
      <c r="B2678">
        <v>-149.598805</v>
      </c>
      <c r="C2678">
        <v>-17.022967000000001</v>
      </c>
      <c r="D2678">
        <v>143.12960130998999</v>
      </c>
      <c r="E2678">
        <v>29.793600119090001</v>
      </c>
      <c r="F2678">
        <v>8.8455200833630094</v>
      </c>
    </row>
    <row r="2679" spans="1:6" x14ac:dyDescent="0.2">
      <c r="A2679">
        <v>736787.63879999996</v>
      </c>
      <c r="B2679">
        <v>-149.598814</v>
      </c>
      <c r="C2679">
        <v>-17.022977000000001</v>
      </c>
      <c r="D2679">
        <v>143.12960130998999</v>
      </c>
      <c r="E2679">
        <v>29.793600119090001</v>
      </c>
      <c r="F2679">
        <v>8.8455200833630094</v>
      </c>
    </row>
    <row r="2680" spans="1:6" x14ac:dyDescent="0.2">
      <c r="A2680">
        <v>736787.63879999996</v>
      </c>
      <c r="B2680">
        <v>-149.59883199999999</v>
      </c>
      <c r="C2680">
        <v>-17.022987000000001</v>
      </c>
      <c r="D2680">
        <v>143.12960130998999</v>
      </c>
      <c r="E2680">
        <v>29.793600119090001</v>
      </c>
      <c r="F2680">
        <v>8.8455200833630094</v>
      </c>
    </row>
    <row r="2681" spans="1:6" x14ac:dyDescent="0.2">
      <c r="A2681">
        <v>736787.63879999996</v>
      </c>
      <c r="B2681">
        <v>-149.59884199999999</v>
      </c>
      <c r="C2681">
        <v>-17.022993</v>
      </c>
      <c r="D2681">
        <v>143.12960130998999</v>
      </c>
      <c r="E2681">
        <v>29.793600119090001</v>
      </c>
      <c r="F2681">
        <v>8.8455200833630094</v>
      </c>
    </row>
    <row r="2682" spans="1:6" x14ac:dyDescent="0.2">
      <c r="A2682">
        <v>736787.63879999996</v>
      </c>
      <c r="B2682">
        <v>-149.598859</v>
      </c>
      <c r="C2682">
        <v>-17.022997</v>
      </c>
      <c r="D2682">
        <v>143.12960130998999</v>
      </c>
      <c r="E2682">
        <v>29.793600119090001</v>
      </c>
      <c r="F2682">
        <v>8.8455200833630094</v>
      </c>
    </row>
    <row r="2683" spans="1:6" x14ac:dyDescent="0.2">
      <c r="A2683">
        <v>736787.63890000002</v>
      </c>
      <c r="B2683">
        <v>-149.59887599999999</v>
      </c>
      <c r="C2683">
        <v>-17.023</v>
      </c>
      <c r="D2683">
        <v>142.02079995654799</v>
      </c>
      <c r="E2683">
        <v>29.7</v>
      </c>
      <c r="F2683">
        <v>8.7799999999999994</v>
      </c>
    </row>
    <row r="2684" spans="1:6" x14ac:dyDescent="0.2">
      <c r="A2684">
        <v>736787.63890000002</v>
      </c>
      <c r="B2684">
        <v>-149.598885</v>
      </c>
      <c r="C2684">
        <v>-17.023004</v>
      </c>
      <c r="D2684">
        <v>142.02079995654799</v>
      </c>
      <c r="E2684">
        <v>29.7</v>
      </c>
      <c r="F2684">
        <v>8.7799999999999994</v>
      </c>
    </row>
    <row r="2685" spans="1:6" x14ac:dyDescent="0.2">
      <c r="A2685">
        <v>736787.63890000002</v>
      </c>
      <c r="B2685">
        <v>-149.598894</v>
      </c>
      <c r="C2685">
        <v>-17.023007</v>
      </c>
      <c r="D2685">
        <v>142.02079995654799</v>
      </c>
      <c r="E2685">
        <v>29.7</v>
      </c>
      <c r="F2685">
        <v>8.7799999999999994</v>
      </c>
    </row>
    <row r="2686" spans="1:6" x14ac:dyDescent="0.2">
      <c r="A2686">
        <v>736787.63890000002</v>
      </c>
      <c r="B2686">
        <v>-149.59891099999999</v>
      </c>
      <c r="C2686">
        <v>-17.023004</v>
      </c>
      <c r="D2686">
        <v>142.02079995654799</v>
      </c>
      <c r="E2686">
        <v>29.7</v>
      </c>
      <c r="F2686">
        <v>8.7799999999999994</v>
      </c>
    </row>
    <row r="2687" spans="1:6" x14ac:dyDescent="0.2">
      <c r="A2687">
        <v>736787.63890000002</v>
      </c>
      <c r="B2687">
        <v>-149.59892300000001</v>
      </c>
      <c r="C2687">
        <v>-17.023004</v>
      </c>
      <c r="D2687">
        <v>142.02079995654799</v>
      </c>
      <c r="E2687">
        <v>29.7</v>
      </c>
      <c r="F2687">
        <v>8.7799999999999994</v>
      </c>
    </row>
    <row r="2688" spans="1:6" x14ac:dyDescent="0.2">
      <c r="A2688">
        <v>736787.63890000002</v>
      </c>
      <c r="B2688">
        <v>-149.59893600000001</v>
      </c>
      <c r="C2688">
        <v>-17.023005999999999</v>
      </c>
      <c r="D2688">
        <v>142.02079995654799</v>
      </c>
      <c r="E2688">
        <v>29.7</v>
      </c>
      <c r="F2688">
        <v>8.7799999999999994</v>
      </c>
    </row>
    <row r="2689" spans="1:6" x14ac:dyDescent="0.2">
      <c r="A2689">
        <v>736787.63890000002</v>
      </c>
      <c r="B2689">
        <v>-149.59894700000001</v>
      </c>
      <c r="C2689">
        <v>-17.023008000000001</v>
      </c>
      <c r="D2689">
        <v>142.02079995654799</v>
      </c>
      <c r="E2689">
        <v>29.7</v>
      </c>
      <c r="F2689">
        <v>8.7799999999999994</v>
      </c>
    </row>
    <row r="2690" spans="1:6" x14ac:dyDescent="0.2">
      <c r="A2690">
        <v>736787.63890000002</v>
      </c>
      <c r="B2690">
        <v>-149.598962</v>
      </c>
      <c r="C2690">
        <v>-17.023012000000001</v>
      </c>
      <c r="D2690">
        <v>142.02079995654799</v>
      </c>
      <c r="E2690">
        <v>29.7</v>
      </c>
      <c r="F2690">
        <v>8.7799999999999994</v>
      </c>
    </row>
    <row r="2691" spans="1:6" x14ac:dyDescent="0.2">
      <c r="A2691">
        <v>736787.63899999997</v>
      </c>
      <c r="B2691">
        <v>-149.59897100000001</v>
      </c>
      <c r="C2691">
        <v>-17.023016999999999</v>
      </c>
      <c r="D2691">
        <v>141.084000901222</v>
      </c>
      <c r="E2691">
        <v>29.648000112652699</v>
      </c>
      <c r="F2691">
        <v>8.7292000450610807</v>
      </c>
    </row>
    <row r="2692" spans="1:6" x14ac:dyDescent="0.2">
      <c r="A2692">
        <v>736787.63899999997</v>
      </c>
      <c r="B2692">
        <v>-149.59898100000001</v>
      </c>
      <c r="C2692">
        <v>-17.023022000000001</v>
      </c>
      <c r="D2692">
        <v>141.084000901222</v>
      </c>
      <c r="E2692">
        <v>29.648000112652699</v>
      </c>
      <c r="F2692">
        <v>8.7292000450610807</v>
      </c>
    </row>
    <row r="2693" spans="1:6" x14ac:dyDescent="0.2">
      <c r="A2693">
        <v>736787.63899999997</v>
      </c>
      <c r="B2693">
        <v>-149.59900099999999</v>
      </c>
      <c r="C2693">
        <v>-17.023043999999999</v>
      </c>
      <c r="D2693">
        <v>141.084000901222</v>
      </c>
      <c r="E2693">
        <v>29.648000112652699</v>
      </c>
      <c r="F2693">
        <v>8.7292000450610807</v>
      </c>
    </row>
    <row r="2694" spans="1:6" x14ac:dyDescent="0.2">
      <c r="A2694">
        <v>736787.63899999997</v>
      </c>
      <c r="B2694">
        <v>-149.59901500000001</v>
      </c>
      <c r="C2694">
        <v>-17.023052</v>
      </c>
      <c r="D2694">
        <v>141.084000901222</v>
      </c>
      <c r="E2694">
        <v>29.648000112652699</v>
      </c>
      <c r="F2694">
        <v>8.7292000450610807</v>
      </c>
    </row>
    <row r="2695" spans="1:6" x14ac:dyDescent="0.2">
      <c r="A2695">
        <v>736787.63899999997</v>
      </c>
      <c r="B2695">
        <v>-149.59902299999999</v>
      </c>
      <c r="C2695">
        <v>-17.023061999999999</v>
      </c>
      <c r="D2695">
        <v>141.084000901222</v>
      </c>
      <c r="E2695">
        <v>29.648000112652699</v>
      </c>
      <c r="F2695">
        <v>8.7292000450610807</v>
      </c>
    </row>
    <row r="2696" spans="1:6" x14ac:dyDescent="0.2">
      <c r="A2696">
        <v>736787.63899999997</v>
      </c>
      <c r="B2696">
        <v>-149.599031</v>
      </c>
      <c r="C2696">
        <v>-17.023070000000001</v>
      </c>
      <c r="D2696">
        <v>141.084000901222</v>
      </c>
      <c r="E2696">
        <v>29.648000112652699</v>
      </c>
      <c r="F2696">
        <v>8.7292000450610807</v>
      </c>
    </row>
    <row r="2697" spans="1:6" x14ac:dyDescent="0.2">
      <c r="A2697">
        <v>736787.63910000003</v>
      </c>
      <c r="B2697">
        <v>-149.59904399999999</v>
      </c>
      <c r="C2697">
        <v>-17.023074000000001</v>
      </c>
      <c r="D2697">
        <v>140.47679917441701</v>
      </c>
      <c r="E2697">
        <v>29.6</v>
      </c>
      <c r="F2697">
        <v>8.6975999541342492</v>
      </c>
    </row>
    <row r="2698" spans="1:6" x14ac:dyDescent="0.2">
      <c r="A2698">
        <v>736787.63910000003</v>
      </c>
      <c r="B2698">
        <v>-149.59905499999999</v>
      </c>
      <c r="C2698">
        <v>-17.023083</v>
      </c>
      <c r="D2698">
        <v>140.47679917441701</v>
      </c>
      <c r="E2698">
        <v>29.6</v>
      </c>
      <c r="F2698">
        <v>8.6975999541342492</v>
      </c>
    </row>
    <row r="2699" spans="1:6" x14ac:dyDescent="0.2">
      <c r="A2699">
        <v>736787.63910000003</v>
      </c>
      <c r="B2699">
        <v>-149.59906799999999</v>
      </c>
      <c r="C2699">
        <v>-17.023097</v>
      </c>
      <c r="D2699">
        <v>140.47679917441701</v>
      </c>
      <c r="E2699">
        <v>29.6</v>
      </c>
      <c r="F2699">
        <v>8.6975999541342492</v>
      </c>
    </row>
    <row r="2700" spans="1:6" x14ac:dyDescent="0.2">
      <c r="A2700">
        <v>736787.63910000003</v>
      </c>
      <c r="B2700">
        <v>-149.59908300000001</v>
      </c>
      <c r="C2700">
        <v>-17.023108000000001</v>
      </c>
      <c r="D2700">
        <v>140.47679917441701</v>
      </c>
      <c r="E2700">
        <v>29.6</v>
      </c>
      <c r="F2700">
        <v>8.6975999541342492</v>
      </c>
    </row>
    <row r="2701" spans="1:6" x14ac:dyDescent="0.2">
      <c r="A2701">
        <v>736787.63910000003</v>
      </c>
      <c r="B2701">
        <v>-149.59909099999999</v>
      </c>
      <c r="C2701">
        <v>-17.023116999999999</v>
      </c>
      <c r="D2701">
        <v>140.47679917441701</v>
      </c>
      <c r="E2701">
        <v>29.6</v>
      </c>
      <c r="F2701">
        <v>8.6975999541342492</v>
      </c>
    </row>
    <row r="2702" spans="1:6" x14ac:dyDescent="0.2">
      <c r="A2702">
        <v>736787.63910000003</v>
      </c>
      <c r="B2702">
        <v>-149.59910199999999</v>
      </c>
      <c r="C2702">
        <v>-17.023121</v>
      </c>
      <c r="D2702">
        <v>140.47679917441701</v>
      </c>
      <c r="E2702">
        <v>29.6</v>
      </c>
      <c r="F2702">
        <v>8.6975999541342492</v>
      </c>
    </row>
    <row r="2703" spans="1:6" x14ac:dyDescent="0.2">
      <c r="A2703">
        <v>736787.63910000003</v>
      </c>
      <c r="B2703">
        <v>-149.59911600000001</v>
      </c>
      <c r="C2703">
        <v>-17.023129000000001</v>
      </c>
      <c r="D2703">
        <v>140.47679917441701</v>
      </c>
      <c r="E2703">
        <v>29.6</v>
      </c>
      <c r="F2703">
        <v>8.6975999541342492</v>
      </c>
    </row>
    <row r="2704" spans="1:6" x14ac:dyDescent="0.2">
      <c r="A2704">
        <v>736787.63910000003</v>
      </c>
      <c r="B2704">
        <v>-149.59912399999999</v>
      </c>
      <c r="C2704">
        <v>-17.023136000000001</v>
      </c>
      <c r="D2704">
        <v>140.47679917441701</v>
      </c>
      <c r="E2704">
        <v>29.6</v>
      </c>
      <c r="F2704">
        <v>8.6975999541342492</v>
      </c>
    </row>
    <row r="2705" spans="1:6" x14ac:dyDescent="0.2">
      <c r="A2705">
        <v>736787.63919999998</v>
      </c>
      <c r="B2705">
        <v>-149.59913599999999</v>
      </c>
      <c r="C2705">
        <v>-17.023139</v>
      </c>
      <c r="D2705">
        <v>139.21440063729199</v>
      </c>
      <c r="E2705">
        <v>29.6</v>
      </c>
      <c r="F2705">
        <v>8.6209600424861605</v>
      </c>
    </row>
    <row r="2706" spans="1:6" x14ac:dyDescent="0.2">
      <c r="A2706">
        <v>736787.63919999998</v>
      </c>
      <c r="B2706">
        <v>-149.59915000000001</v>
      </c>
      <c r="C2706">
        <v>-17.023143000000001</v>
      </c>
      <c r="D2706">
        <v>139.21440063729199</v>
      </c>
      <c r="E2706">
        <v>29.6</v>
      </c>
      <c r="F2706">
        <v>8.6209600424861605</v>
      </c>
    </row>
    <row r="2707" spans="1:6" x14ac:dyDescent="0.2">
      <c r="A2707">
        <v>736787.63919999998</v>
      </c>
      <c r="B2707">
        <v>-149.59916000000001</v>
      </c>
      <c r="C2707">
        <v>-17.023147000000002</v>
      </c>
      <c r="D2707">
        <v>139.21440063729199</v>
      </c>
      <c r="E2707">
        <v>29.6</v>
      </c>
      <c r="F2707">
        <v>8.6209600424861605</v>
      </c>
    </row>
    <row r="2708" spans="1:6" x14ac:dyDescent="0.2">
      <c r="A2708">
        <v>736787.63919999998</v>
      </c>
      <c r="B2708">
        <v>-149.59917100000001</v>
      </c>
      <c r="C2708">
        <v>-17.023153000000001</v>
      </c>
      <c r="D2708">
        <v>139.21440063729199</v>
      </c>
      <c r="E2708">
        <v>29.6</v>
      </c>
      <c r="F2708">
        <v>8.6209600424861605</v>
      </c>
    </row>
    <row r="2709" spans="1:6" x14ac:dyDescent="0.2">
      <c r="A2709">
        <v>736787.63919999998</v>
      </c>
      <c r="B2709">
        <v>-149.59918200000001</v>
      </c>
      <c r="C2709">
        <v>-17.023154999999999</v>
      </c>
      <c r="D2709">
        <v>139.21440063729199</v>
      </c>
      <c r="E2709">
        <v>29.6</v>
      </c>
      <c r="F2709">
        <v>8.6209600424861605</v>
      </c>
    </row>
    <row r="2710" spans="1:6" x14ac:dyDescent="0.2">
      <c r="A2710">
        <v>736787.63919999998</v>
      </c>
      <c r="B2710">
        <v>-149.59919300000001</v>
      </c>
      <c r="C2710">
        <v>-17.023157000000001</v>
      </c>
      <c r="D2710">
        <v>139.21440063729199</v>
      </c>
      <c r="E2710">
        <v>29.6</v>
      </c>
      <c r="F2710">
        <v>8.6209600424861605</v>
      </c>
    </row>
    <row r="2711" spans="1:6" x14ac:dyDescent="0.2">
      <c r="A2711">
        <v>736787.63919999998</v>
      </c>
      <c r="B2711">
        <v>-149.59920700000001</v>
      </c>
      <c r="C2711">
        <v>-17.023161000000002</v>
      </c>
      <c r="D2711">
        <v>139.21440063729199</v>
      </c>
      <c r="E2711">
        <v>29.6</v>
      </c>
      <c r="F2711">
        <v>8.6209600424861605</v>
      </c>
    </row>
    <row r="2712" spans="1:6" x14ac:dyDescent="0.2">
      <c r="A2712">
        <v>736787.63919999998</v>
      </c>
      <c r="B2712">
        <v>-149.59922</v>
      </c>
      <c r="C2712">
        <v>-17.023167000000001</v>
      </c>
      <c r="D2712">
        <v>139.21440063729199</v>
      </c>
      <c r="E2712">
        <v>29.6</v>
      </c>
      <c r="F2712">
        <v>8.6209600424861605</v>
      </c>
    </row>
    <row r="2713" spans="1:6" x14ac:dyDescent="0.2">
      <c r="A2713">
        <v>736787.63930000004</v>
      </c>
      <c r="B2713">
        <v>-149.599231</v>
      </c>
      <c r="C2713">
        <v>-17.023171000000001</v>
      </c>
      <c r="D2713">
        <v>138.22959990183099</v>
      </c>
      <c r="E2713">
        <v>29.529599901831201</v>
      </c>
      <c r="F2713">
        <v>8.57</v>
      </c>
    </row>
    <row r="2714" spans="1:6" x14ac:dyDescent="0.2">
      <c r="A2714">
        <v>736787.63930000004</v>
      </c>
      <c r="B2714">
        <v>-149.59923800000001</v>
      </c>
      <c r="C2714">
        <v>-17.023178000000001</v>
      </c>
      <c r="D2714">
        <v>138.22959990183099</v>
      </c>
      <c r="E2714">
        <v>29.529599901831201</v>
      </c>
      <c r="F2714">
        <v>8.57</v>
      </c>
    </row>
    <row r="2715" spans="1:6" x14ac:dyDescent="0.2">
      <c r="A2715">
        <v>736787.63930000004</v>
      </c>
      <c r="B2715">
        <v>-149.59924599999999</v>
      </c>
      <c r="C2715">
        <v>-17.023184000000001</v>
      </c>
      <c r="D2715">
        <v>138.22959990183099</v>
      </c>
      <c r="E2715">
        <v>29.529599901831201</v>
      </c>
      <c r="F2715">
        <v>8.57</v>
      </c>
    </row>
    <row r="2716" spans="1:6" x14ac:dyDescent="0.2">
      <c r="A2716">
        <v>736787.63930000004</v>
      </c>
      <c r="B2716">
        <v>-149.59925799999999</v>
      </c>
      <c r="C2716">
        <v>-17.023185000000002</v>
      </c>
      <c r="D2716">
        <v>138.22959990183099</v>
      </c>
      <c r="E2716">
        <v>29.529599901831201</v>
      </c>
      <c r="F2716">
        <v>8.57</v>
      </c>
    </row>
    <row r="2717" spans="1:6" x14ac:dyDescent="0.2">
      <c r="A2717">
        <v>736787.63930000004</v>
      </c>
      <c r="B2717">
        <v>-149.599267</v>
      </c>
      <c r="C2717">
        <v>-17.023188000000001</v>
      </c>
      <c r="D2717">
        <v>138.22959990183099</v>
      </c>
      <c r="E2717">
        <v>29.529599901831201</v>
      </c>
      <c r="F2717">
        <v>8.57</v>
      </c>
    </row>
    <row r="2718" spans="1:6" x14ac:dyDescent="0.2">
      <c r="A2718">
        <v>736787.63930000004</v>
      </c>
      <c r="B2718">
        <v>-149.59928500000001</v>
      </c>
      <c r="C2718">
        <v>-17.023187</v>
      </c>
      <c r="D2718">
        <v>138.22959990183099</v>
      </c>
      <c r="E2718">
        <v>29.529599901831201</v>
      </c>
      <c r="F2718">
        <v>8.57</v>
      </c>
    </row>
    <row r="2719" spans="1:6" x14ac:dyDescent="0.2">
      <c r="A2719">
        <v>736787.63939999999</v>
      </c>
      <c r="B2719">
        <v>-149.59930199999999</v>
      </c>
      <c r="C2719">
        <v>-17.023183</v>
      </c>
      <c r="D2719">
        <v>136.86240030979499</v>
      </c>
      <c r="E2719">
        <v>29.5</v>
      </c>
      <c r="F2719">
        <v>8.4870400168979199</v>
      </c>
    </row>
    <row r="2720" spans="1:6" x14ac:dyDescent="0.2">
      <c r="A2720">
        <v>736787.63939999999</v>
      </c>
      <c r="B2720">
        <v>-149.59931800000001</v>
      </c>
      <c r="C2720">
        <v>-17.023175999999999</v>
      </c>
      <c r="D2720">
        <v>136.86240030979499</v>
      </c>
      <c r="E2720">
        <v>29.5</v>
      </c>
      <c r="F2720">
        <v>8.4870400168979199</v>
      </c>
    </row>
    <row r="2721" spans="1:6" x14ac:dyDescent="0.2">
      <c r="A2721">
        <v>736787.63939999999</v>
      </c>
      <c r="B2721">
        <v>-149.59932800000001</v>
      </c>
      <c r="C2721">
        <v>-17.02317</v>
      </c>
      <c r="D2721">
        <v>136.86240030979499</v>
      </c>
      <c r="E2721">
        <v>29.5</v>
      </c>
      <c r="F2721">
        <v>8.4870400168979199</v>
      </c>
    </row>
    <row r="2722" spans="1:6" x14ac:dyDescent="0.2">
      <c r="A2722">
        <v>736787.63939999999</v>
      </c>
      <c r="B2722">
        <v>-149.59933799999999</v>
      </c>
      <c r="C2722">
        <v>-17.023168999999999</v>
      </c>
      <c r="D2722">
        <v>136.86240030979499</v>
      </c>
      <c r="E2722">
        <v>29.5</v>
      </c>
      <c r="F2722">
        <v>8.4870400168979199</v>
      </c>
    </row>
    <row r="2723" spans="1:6" x14ac:dyDescent="0.2">
      <c r="A2723">
        <v>736787.63939999999</v>
      </c>
      <c r="B2723">
        <v>-149.59935300000001</v>
      </c>
      <c r="C2723">
        <v>-17.023174000000001</v>
      </c>
      <c r="D2723">
        <v>136.86240030979499</v>
      </c>
      <c r="E2723">
        <v>29.5</v>
      </c>
      <c r="F2723">
        <v>8.4870400168979199</v>
      </c>
    </row>
    <row r="2724" spans="1:6" x14ac:dyDescent="0.2">
      <c r="A2724">
        <v>736787.63939999999</v>
      </c>
      <c r="B2724">
        <v>-149.59936200000001</v>
      </c>
      <c r="C2724">
        <v>-17.023178000000001</v>
      </c>
      <c r="D2724">
        <v>136.86240030979499</v>
      </c>
      <c r="E2724">
        <v>29.5</v>
      </c>
      <c r="F2724">
        <v>8.4870400168979199</v>
      </c>
    </row>
    <row r="2725" spans="1:6" x14ac:dyDescent="0.2">
      <c r="A2725">
        <v>736787.63939999999</v>
      </c>
      <c r="B2725">
        <v>-149.599369</v>
      </c>
      <c r="C2725">
        <v>-17.023184000000001</v>
      </c>
      <c r="D2725">
        <v>136.86240030979499</v>
      </c>
      <c r="E2725">
        <v>29.5</v>
      </c>
      <c r="F2725">
        <v>8.4870400168979199</v>
      </c>
    </row>
    <row r="2726" spans="1:6" x14ac:dyDescent="0.2">
      <c r="A2726">
        <v>736787.63950000005</v>
      </c>
      <c r="B2726">
        <v>-149.599377</v>
      </c>
      <c r="C2726">
        <v>-17.023188999999999</v>
      </c>
      <c r="D2726">
        <v>135.855999058545</v>
      </c>
      <c r="E2726">
        <v>29.5</v>
      </c>
      <c r="F2726">
        <v>8.4319999476969496</v>
      </c>
    </row>
    <row r="2727" spans="1:6" x14ac:dyDescent="0.2">
      <c r="A2727">
        <v>736787.63950000005</v>
      </c>
      <c r="B2727">
        <v>-149.59939</v>
      </c>
      <c r="C2727">
        <v>-17.023188999999999</v>
      </c>
      <c r="D2727">
        <v>135.855999058545</v>
      </c>
      <c r="E2727">
        <v>29.5</v>
      </c>
      <c r="F2727">
        <v>8.4319999476969496</v>
      </c>
    </row>
    <row r="2728" spans="1:6" x14ac:dyDescent="0.2">
      <c r="A2728">
        <v>736787.63950000005</v>
      </c>
      <c r="B2728">
        <v>-149.59940399999999</v>
      </c>
      <c r="C2728">
        <v>-17.023192000000002</v>
      </c>
      <c r="D2728">
        <v>135.855999058545</v>
      </c>
      <c r="E2728">
        <v>29.5</v>
      </c>
      <c r="F2728">
        <v>8.4319999476969496</v>
      </c>
    </row>
    <row r="2729" spans="1:6" x14ac:dyDescent="0.2">
      <c r="A2729">
        <v>736787.63950000005</v>
      </c>
      <c r="B2729">
        <v>-149.59941499999999</v>
      </c>
      <c r="C2729">
        <v>-17.023195999999999</v>
      </c>
      <c r="D2729">
        <v>135.855999058545</v>
      </c>
      <c r="E2729">
        <v>29.5</v>
      </c>
      <c r="F2729">
        <v>8.4319999476969496</v>
      </c>
    </row>
    <row r="2730" spans="1:6" x14ac:dyDescent="0.2">
      <c r="A2730">
        <v>736787.63950000005</v>
      </c>
      <c r="B2730">
        <v>-149.599434</v>
      </c>
      <c r="C2730">
        <v>-17.023202999999999</v>
      </c>
      <c r="D2730">
        <v>135.855999058545</v>
      </c>
      <c r="E2730">
        <v>29.5</v>
      </c>
      <c r="F2730">
        <v>8.4319999476969496</v>
      </c>
    </row>
    <row r="2731" spans="1:6" x14ac:dyDescent="0.2">
      <c r="A2731">
        <v>736787.63950000005</v>
      </c>
      <c r="B2731">
        <v>-149.599446</v>
      </c>
      <c r="C2731">
        <v>-17.023209999999999</v>
      </c>
      <c r="D2731">
        <v>135.855999058545</v>
      </c>
      <c r="E2731">
        <v>29.5</v>
      </c>
      <c r="F2731">
        <v>8.4319999476969496</v>
      </c>
    </row>
    <row r="2732" spans="1:6" x14ac:dyDescent="0.2">
      <c r="A2732">
        <v>736787.63950000005</v>
      </c>
      <c r="B2732">
        <v>-149.59946500000001</v>
      </c>
      <c r="C2732">
        <v>-17.023213999999999</v>
      </c>
      <c r="D2732">
        <v>135.855999058545</v>
      </c>
      <c r="E2732">
        <v>29.5</v>
      </c>
      <c r="F2732">
        <v>8.4319999476969496</v>
      </c>
    </row>
    <row r="2733" spans="1:6" x14ac:dyDescent="0.2">
      <c r="A2733">
        <v>736787.63959999999</v>
      </c>
      <c r="B2733">
        <v>-149.59947600000001</v>
      </c>
      <c r="C2733">
        <v>-17.023222000000001</v>
      </c>
      <c r="D2733">
        <v>134.74480037336301</v>
      </c>
      <c r="E2733">
        <v>29.5</v>
      </c>
      <c r="F2733">
        <v>8.3633600280022407</v>
      </c>
    </row>
    <row r="2734" spans="1:6" x14ac:dyDescent="0.2">
      <c r="A2734">
        <v>736787.63959999999</v>
      </c>
      <c r="B2734">
        <v>-149.599492</v>
      </c>
      <c r="C2734">
        <v>-17.023230999999999</v>
      </c>
      <c r="D2734">
        <v>134.74480037336301</v>
      </c>
      <c r="E2734">
        <v>29.5</v>
      </c>
      <c r="F2734">
        <v>8.3633600280022407</v>
      </c>
    </row>
    <row r="2735" spans="1:6" x14ac:dyDescent="0.2">
      <c r="A2735">
        <v>736787.63959999999</v>
      </c>
      <c r="B2735">
        <v>-149.59950900000001</v>
      </c>
      <c r="C2735">
        <v>-17.023235</v>
      </c>
      <c r="D2735">
        <v>134.74480037336301</v>
      </c>
      <c r="E2735">
        <v>29.5</v>
      </c>
      <c r="F2735">
        <v>8.3633600280022407</v>
      </c>
    </row>
    <row r="2736" spans="1:6" x14ac:dyDescent="0.2">
      <c r="A2736">
        <v>736787.63959999999</v>
      </c>
      <c r="B2736">
        <v>-149.599526</v>
      </c>
      <c r="C2736">
        <v>-17.023240000000001</v>
      </c>
      <c r="D2736">
        <v>134.74480037336301</v>
      </c>
      <c r="E2736">
        <v>29.5</v>
      </c>
      <c r="F2736">
        <v>8.3633600280022407</v>
      </c>
    </row>
    <row r="2737" spans="1:6" x14ac:dyDescent="0.2">
      <c r="A2737">
        <v>736787.63970000006</v>
      </c>
      <c r="B2737">
        <v>-149.599535</v>
      </c>
      <c r="C2737">
        <v>-17.023243000000001</v>
      </c>
      <c r="D2737">
        <v>134.39199944478301</v>
      </c>
      <c r="E2737">
        <v>29.4</v>
      </c>
      <c r="F2737">
        <v>8.3415199666869793</v>
      </c>
    </row>
    <row r="2738" spans="1:6" x14ac:dyDescent="0.2">
      <c r="A2738">
        <v>736787.63970000006</v>
      </c>
      <c r="B2738">
        <v>-149.599548</v>
      </c>
      <c r="C2738">
        <v>-17.023240999999999</v>
      </c>
      <c r="D2738">
        <v>134.39199944478301</v>
      </c>
      <c r="E2738">
        <v>29.4</v>
      </c>
      <c r="F2738">
        <v>8.3415199666869793</v>
      </c>
    </row>
    <row r="2739" spans="1:6" x14ac:dyDescent="0.2">
      <c r="A2739">
        <v>736787.63970000006</v>
      </c>
      <c r="B2739">
        <v>-149.599557</v>
      </c>
      <c r="C2739">
        <v>-17.023244999999999</v>
      </c>
      <c r="D2739">
        <v>134.39199944478301</v>
      </c>
      <c r="E2739">
        <v>29.4</v>
      </c>
      <c r="F2739">
        <v>8.3415199666869793</v>
      </c>
    </row>
    <row r="2740" spans="1:6" x14ac:dyDescent="0.2">
      <c r="A2740">
        <v>736787.63970000006</v>
      </c>
      <c r="B2740">
        <v>-149.59957299999999</v>
      </c>
      <c r="C2740">
        <v>-17.023242</v>
      </c>
      <c r="D2740">
        <v>134.39199944478301</v>
      </c>
      <c r="E2740">
        <v>29.4</v>
      </c>
      <c r="F2740">
        <v>8.3415199666869793</v>
      </c>
    </row>
    <row r="2741" spans="1:6" x14ac:dyDescent="0.2">
      <c r="A2741">
        <v>736787.63970000006</v>
      </c>
      <c r="B2741">
        <v>-149.59958800000001</v>
      </c>
      <c r="C2741">
        <v>-17.023237999999999</v>
      </c>
      <c r="D2741">
        <v>134.39199944478301</v>
      </c>
      <c r="E2741">
        <v>29.4</v>
      </c>
      <c r="F2741">
        <v>8.3415199666869793</v>
      </c>
    </row>
    <row r="2742" spans="1:6" x14ac:dyDescent="0.2">
      <c r="A2742">
        <v>736787.6398</v>
      </c>
      <c r="B2742">
        <v>-149.599603</v>
      </c>
      <c r="C2742">
        <v>-17.023230999999999</v>
      </c>
      <c r="D2742">
        <v>134.19999999999999</v>
      </c>
      <c r="E2742">
        <v>29.465600017702599</v>
      </c>
      <c r="F2742">
        <v>8.33</v>
      </c>
    </row>
    <row r="2743" spans="1:6" x14ac:dyDescent="0.2">
      <c r="A2743">
        <v>736787.6398</v>
      </c>
      <c r="B2743">
        <v>-149.599616</v>
      </c>
      <c r="C2743">
        <v>-17.023230999999999</v>
      </c>
      <c r="D2743">
        <v>134.19999999999999</v>
      </c>
      <c r="E2743">
        <v>29.465600017702599</v>
      </c>
      <c r="F2743">
        <v>8.33</v>
      </c>
    </row>
    <row r="2744" spans="1:6" x14ac:dyDescent="0.2">
      <c r="A2744">
        <v>736787.6398</v>
      </c>
      <c r="B2744">
        <v>-149.599625</v>
      </c>
      <c r="C2744">
        <v>-17.023226000000001</v>
      </c>
      <c r="D2744">
        <v>134.19999999999999</v>
      </c>
      <c r="E2744">
        <v>29.465600017702599</v>
      </c>
      <c r="F2744">
        <v>8.33</v>
      </c>
    </row>
    <row r="2745" spans="1:6" x14ac:dyDescent="0.2">
      <c r="A2745">
        <v>736787.6398</v>
      </c>
      <c r="B2745">
        <v>-149.59964099999999</v>
      </c>
      <c r="C2745">
        <v>-17.023223000000002</v>
      </c>
      <c r="D2745">
        <v>134.19999999999999</v>
      </c>
      <c r="E2745">
        <v>29.465600017702599</v>
      </c>
      <c r="F2745">
        <v>8.33</v>
      </c>
    </row>
    <row r="2746" spans="1:6" x14ac:dyDescent="0.2">
      <c r="A2746">
        <v>736787.63989999995</v>
      </c>
      <c r="B2746">
        <v>-149.59965099999999</v>
      </c>
      <c r="C2746">
        <v>-17.023226000000001</v>
      </c>
      <c r="D2746">
        <v>133.55680050210901</v>
      </c>
      <c r="E2746">
        <v>29.4</v>
      </c>
      <c r="F2746">
        <v>8.2971200334739503</v>
      </c>
    </row>
    <row r="2747" spans="1:6" x14ac:dyDescent="0.2">
      <c r="A2747">
        <v>736787.63989999995</v>
      </c>
      <c r="B2747">
        <v>-149.59966399999999</v>
      </c>
      <c r="C2747">
        <v>-17.023237999999999</v>
      </c>
      <c r="D2747">
        <v>133.55680050210901</v>
      </c>
      <c r="E2747">
        <v>29.4</v>
      </c>
      <c r="F2747">
        <v>8.2971200334739503</v>
      </c>
    </row>
    <row r="2748" spans="1:6" x14ac:dyDescent="0.2">
      <c r="A2748">
        <v>736787.63989999995</v>
      </c>
      <c r="B2748">
        <v>-149.59966800000001</v>
      </c>
      <c r="C2748">
        <v>-17.023247999999999</v>
      </c>
      <c r="D2748">
        <v>133.55680050210901</v>
      </c>
      <c r="E2748">
        <v>29.4</v>
      </c>
      <c r="F2748">
        <v>8.2971200334739503</v>
      </c>
    </row>
    <row r="2749" spans="1:6" x14ac:dyDescent="0.2">
      <c r="A2749">
        <v>736787.63989999995</v>
      </c>
      <c r="B2749">
        <v>-149.59967399999999</v>
      </c>
      <c r="C2749">
        <v>-17.023260000000001</v>
      </c>
      <c r="D2749">
        <v>133.55680050210901</v>
      </c>
      <c r="E2749">
        <v>29.4</v>
      </c>
      <c r="F2749">
        <v>8.2971200334739503</v>
      </c>
    </row>
    <row r="2750" spans="1:6" x14ac:dyDescent="0.2">
      <c r="A2750">
        <v>736787.64</v>
      </c>
      <c r="B2750">
        <v>-149.59968499999999</v>
      </c>
      <c r="C2750">
        <v>-17.023271999999999</v>
      </c>
      <c r="D2750">
        <v>132.67999967813401</v>
      </c>
      <c r="E2750">
        <v>29.4</v>
      </c>
      <c r="F2750">
        <v>8.2359999758600893</v>
      </c>
    </row>
    <row r="2751" spans="1:6" x14ac:dyDescent="0.2">
      <c r="A2751">
        <v>736787.64</v>
      </c>
      <c r="B2751">
        <v>-149.59969100000001</v>
      </c>
      <c r="C2751">
        <v>-17.023278999999999</v>
      </c>
      <c r="D2751">
        <v>132.67999967813401</v>
      </c>
      <c r="E2751">
        <v>29.4</v>
      </c>
      <c r="F2751">
        <v>8.2359999758600893</v>
      </c>
    </row>
    <row r="2752" spans="1:6" x14ac:dyDescent="0.2">
      <c r="A2752">
        <v>736787.64</v>
      </c>
      <c r="B2752">
        <v>-149.59970200000001</v>
      </c>
      <c r="C2752">
        <v>-17.023291</v>
      </c>
      <c r="D2752">
        <v>132.67999967813401</v>
      </c>
      <c r="E2752">
        <v>29.4</v>
      </c>
      <c r="F2752">
        <v>8.2359999758600893</v>
      </c>
    </row>
    <row r="2753" spans="1:6" x14ac:dyDescent="0.2">
      <c r="A2753">
        <v>736787.64</v>
      </c>
      <c r="B2753">
        <v>-149.59970799999999</v>
      </c>
      <c r="C2753">
        <v>-17.023302000000001</v>
      </c>
      <c r="D2753">
        <v>132.67999967813401</v>
      </c>
      <c r="E2753">
        <v>29.4</v>
      </c>
      <c r="F2753">
        <v>8.2359999758600893</v>
      </c>
    </row>
    <row r="2754" spans="1:6" x14ac:dyDescent="0.2">
      <c r="A2754">
        <v>736787.64</v>
      </c>
      <c r="B2754">
        <v>-149.59971899999999</v>
      </c>
      <c r="C2754">
        <v>-17.023309000000001</v>
      </c>
      <c r="D2754">
        <v>132.67999967813401</v>
      </c>
      <c r="E2754">
        <v>29.4</v>
      </c>
      <c r="F2754">
        <v>8.2359999758600893</v>
      </c>
    </row>
    <row r="2755" spans="1:6" x14ac:dyDescent="0.2">
      <c r="A2755">
        <v>736787.64009999996</v>
      </c>
      <c r="B2755">
        <v>-149.59973400000001</v>
      </c>
      <c r="C2755">
        <v>-17.023312000000001</v>
      </c>
      <c r="D2755">
        <v>132.38880030899</v>
      </c>
      <c r="E2755">
        <v>29.4</v>
      </c>
      <c r="F2755">
        <v>8.2241600231742709</v>
      </c>
    </row>
    <row r="2756" spans="1:6" x14ac:dyDescent="0.2">
      <c r="A2756">
        <v>736787.64009999996</v>
      </c>
      <c r="B2756">
        <v>-149.59974500000001</v>
      </c>
      <c r="C2756">
        <v>-17.023311</v>
      </c>
      <c r="D2756">
        <v>132.38880030899</v>
      </c>
      <c r="E2756">
        <v>29.4</v>
      </c>
      <c r="F2756">
        <v>8.2241600231742709</v>
      </c>
    </row>
    <row r="2757" spans="1:6" x14ac:dyDescent="0.2">
      <c r="A2757">
        <v>736787.64009999996</v>
      </c>
      <c r="B2757">
        <v>-149.599763</v>
      </c>
      <c r="C2757">
        <v>-17.023313000000002</v>
      </c>
      <c r="D2757">
        <v>132.38880030899</v>
      </c>
      <c r="E2757">
        <v>29.4</v>
      </c>
      <c r="F2757">
        <v>8.2241600231742709</v>
      </c>
    </row>
    <row r="2758" spans="1:6" x14ac:dyDescent="0.2">
      <c r="A2758">
        <v>736787.64009999996</v>
      </c>
      <c r="B2758">
        <v>-149.599772</v>
      </c>
      <c r="C2758">
        <v>-17.023316000000001</v>
      </c>
      <c r="D2758">
        <v>132.38880030899</v>
      </c>
      <c r="E2758">
        <v>29.4</v>
      </c>
      <c r="F2758">
        <v>8.2241600231742709</v>
      </c>
    </row>
    <row r="2759" spans="1:6" x14ac:dyDescent="0.2">
      <c r="A2759">
        <v>736787.64009999996</v>
      </c>
      <c r="B2759">
        <v>-149.59978599999999</v>
      </c>
      <c r="C2759">
        <v>-17.023316999999999</v>
      </c>
      <c r="D2759">
        <v>132.38880030899</v>
      </c>
      <c r="E2759">
        <v>29.4</v>
      </c>
      <c r="F2759">
        <v>8.2241600231742709</v>
      </c>
    </row>
    <row r="2760" spans="1:6" x14ac:dyDescent="0.2">
      <c r="A2760">
        <v>736787.64020000002</v>
      </c>
      <c r="B2760">
        <v>-149.59979899999999</v>
      </c>
      <c r="C2760">
        <v>-17.023316000000001</v>
      </c>
      <c r="D2760">
        <v>132.69999999999999</v>
      </c>
      <c r="E2760">
        <v>29.4</v>
      </c>
      <c r="F2760">
        <v>8.24</v>
      </c>
    </row>
    <row r="2761" spans="1:6" x14ac:dyDescent="0.2">
      <c r="A2761">
        <v>736787.64020000002</v>
      </c>
      <c r="B2761">
        <v>-149.59981199999999</v>
      </c>
      <c r="C2761">
        <v>-17.023311</v>
      </c>
      <c r="D2761">
        <v>132.69999999999999</v>
      </c>
      <c r="E2761">
        <v>29.4</v>
      </c>
      <c r="F2761">
        <v>8.24</v>
      </c>
    </row>
    <row r="2762" spans="1:6" x14ac:dyDescent="0.2">
      <c r="A2762">
        <v>736787.64020000002</v>
      </c>
      <c r="B2762">
        <v>-149.59982400000001</v>
      </c>
      <c r="C2762">
        <v>-17.023313999999999</v>
      </c>
      <c r="D2762">
        <v>132.69999999999999</v>
      </c>
      <c r="E2762">
        <v>29.4</v>
      </c>
      <c r="F2762">
        <v>8.24</v>
      </c>
    </row>
    <row r="2763" spans="1:6" x14ac:dyDescent="0.2">
      <c r="A2763">
        <v>736787.64020000002</v>
      </c>
      <c r="B2763">
        <v>-149.59983399999999</v>
      </c>
      <c r="C2763">
        <v>-17.023312000000001</v>
      </c>
      <c r="D2763">
        <v>132.69999999999999</v>
      </c>
      <c r="E2763">
        <v>29.4</v>
      </c>
      <c r="F2763">
        <v>8.24</v>
      </c>
    </row>
    <row r="2764" spans="1:6" x14ac:dyDescent="0.2">
      <c r="A2764">
        <v>736787.64020000002</v>
      </c>
      <c r="B2764">
        <v>-149.59984800000001</v>
      </c>
      <c r="C2764">
        <v>-17.023313000000002</v>
      </c>
      <c r="D2764">
        <v>132.69999999999999</v>
      </c>
      <c r="E2764">
        <v>29.4</v>
      </c>
      <c r="F2764">
        <v>8.24</v>
      </c>
    </row>
    <row r="2765" spans="1:6" x14ac:dyDescent="0.2">
      <c r="A2765">
        <v>736787.64029999997</v>
      </c>
      <c r="B2765">
        <v>-149.59985699999999</v>
      </c>
      <c r="C2765">
        <v>-17.023309999999999</v>
      </c>
      <c r="D2765">
        <v>132.69999999999999</v>
      </c>
      <c r="E2765">
        <v>29.4</v>
      </c>
      <c r="F2765">
        <v>8.24</v>
      </c>
    </row>
    <row r="2766" spans="1:6" x14ac:dyDescent="0.2">
      <c r="A2766">
        <v>736787.64029999997</v>
      </c>
      <c r="B2766">
        <v>-149.59986799999999</v>
      </c>
      <c r="C2766">
        <v>-17.023309000000001</v>
      </c>
      <c r="D2766">
        <v>132.69999999999999</v>
      </c>
      <c r="E2766">
        <v>29.4</v>
      </c>
      <c r="F2766">
        <v>8.24</v>
      </c>
    </row>
    <row r="2767" spans="1:6" x14ac:dyDescent="0.2">
      <c r="A2767">
        <v>736787.64040000003</v>
      </c>
      <c r="B2767">
        <v>-149.59987699999999</v>
      </c>
      <c r="C2767">
        <v>-17.023311</v>
      </c>
      <c r="D2767">
        <v>132.19999999999999</v>
      </c>
      <c r="E2767">
        <v>29.4</v>
      </c>
      <c r="F2767">
        <v>8.2100000000000009</v>
      </c>
    </row>
    <row r="2768" spans="1:6" x14ac:dyDescent="0.2">
      <c r="A2768">
        <v>736787.64040000003</v>
      </c>
      <c r="B2768">
        <v>-149.59986799999999</v>
      </c>
      <c r="C2768">
        <v>-17.023306999999999</v>
      </c>
      <c r="D2768">
        <v>132.19999999999999</v>
      </c>
      <c r="E2768">
        <v>29.4</v>
      </c>
      <c r="F2768">
        <v>8.2100000000000009</v>
      </c>
    </row>
    <row r="2769" spans="1:6" x14ac:dyDescent="0.2">
      <c r="A2769">
        <v>736787.64049999998</v>
      </c>
      <c r="B2769">
        <v>-149.59985900000001</v>
      </c>
      <c r="C2769">
        <v>-17.023315</v>
      </c>
      <c r="D2769">
        <v>131.72400025749201</v>
      </c>
      <c r="E2769">
        <v>29.4</v>
      </c>
      <c r="F2769">
        <v>8.1812000128745908</v>
      </c>
    </row>
    <row r="2770" spans="1:6" x14ac:dyDescent="0.2">
      <c r="A2770">
        <v>736787.64049999998</v>
      </c>
      <c r="B2770">
        <v>-149.59986799999999</v>
      </c>
      <c r="C2770">
        <v>-17.023323000000001</v>
      </c>
      <c r="D2770">
        <v>131.72400025749201</v>
      </c>
      <c r="E2770">
        <v>29.4</v>
      </c>
      <c r="F2770">
        <v>8.1812000128745908</v>
      </c>
    </row>
    <row r="2771" spans="1:6" x14ac:dyDescent="0.2">
      <c r="A2771">
        <v>736787.64060000004</v>
      </c>
      <c r="B2771">
        <v>-149.59987699999999</v>
      </c>
      <c r="C2771">
        <v>-17.023333000000001</v>
      </c>
      <c r="D2771">
        <v>131.48319985998901</v>
      </c>
      <c r="E2771">
        <v>29.4</v>
      </c>
      <c r="F2771">
        <v>8.1683199859988793</v>
      </c>
    </row>
    <row r="2772" spans="1:6" x14ac:dyDescent="0.2">
      <c r="A2772">
        <v>736787.64060000004</v>
      </c>
      <c r="B2772">
        <v>-149.599887</v>
      </c>
      <c r="C2772">
        <v>-17.023339</v>
      </c>
      <c r="D2772">
        <v>131.48319985998901</v>
      </c>
      <c r="E2772">
        <v>29.4</v>
      </c>
      <c r="F2772">
        <v>8.1683199859988793</v>
      </c>
    </row>
    <row r="2773" spans="1:6" x14ac:dyDescent="0.2">
      <c r="A2773">
        <v>736787.64060000004</v>
      </c>
      <c r="B2773">
        <v>-149.599907</v>
      </c>
      <c r="C2773">
        <v>-17.023354000000001</v>
      </c>
      <c r="D2773">
        <v>131.48319985998901</v>
      </c>
      <c r="E2773">
        <v>29.4</v>
      </c>
      <c r="F2773">
        <v>8.1683199859988793</v>
      </c>
    </row>
    <row r="2774" spans="1:6" x14ac:dyDescent="0.2">
      <c r="A2774">
        <v>736787.64060000004</v>
      </c>
      <c r="B2774">
        <v>-149.59991400000001</v>
      </c>
      <c r="C2774">
        <v>-17.02336</v>
      </c>
      <c r="D2774">
        <v>131.48319985998901</v>
      </c>
      <c r="E2774">
        <v>29.4</v>
      </c>
      <c r="F2774">
        <v>8.1683199859988793</v>
      </c>
    </row>
    <row r="2775" spans="1:6" x14ac:dyDescent="0.2">
      <c r="A2775">
        <v>736787.64069999999</v>
      </c>
      <c r="B2775">
        <v>-149.59991600000001</v>
      </c>
      <c r="C2775">
        <v>-17.023375000000001</v>
      </c>
      <c r="D2775">
        <v>131.579199884129</v>
      </c>
      <c r="E2775">
        <v>29.4</v>
      </c>
      <c r="F2775">
        <v>8.1779199884128602</v>
      </c>
    </row>
    <row r="2776" spans="1:6" x14ac:dyDescent="0.2">
      <c r="A2776">
        <v>736787.64069999999</v>
      </c>
      <c r="B2776">
        <v>-149.599917</v>
      </c>
      <c r="C2776">
        <v>-17.023389999999999</v>
      </c>
      <c r="D2776">
        <v>131.579199884129</v>
      </c>
      <c r="E2776">
        <v>29.4</v>
      </c>
      <c r="F2776">
        <v>8.1779199884128602</v>
      </c>
    </row>
    <row r="2777" spans="1:6" x14ac:dyDescent="0.2">
      <c r="A2777">
        <v>736787.64069999999</v>
      </c>
      <c r="B2777">
        <v>-149.59992</v>
      </c>
      <c r="C2777">
        <v>-17.023401</v>
      </c>
      <c r="D2777">
        <v>131.579199884129</v>
      </c>
      <c r="E2777">
        <v>29.4</v>
      </c>
      <c r="F2777">
        <v>8.1779199884128602</v>
      </c>
    </row>
    <row r="2778" spans="1:6" x14ac:dyDescent="0.2">
      <c r="A2778">
        <v>736787.64069999999</v>
      </c>
      <c r="B2778">
        <v>-149.59992299999999</v>
      </c>
      <c r="C2778">
        <v>-17.023416000000001</v>
      </c>
      <c r="D2778">
        <v>131.579199884129</v>
      </c>
      <c r="E2778">
        <v>29.4</v>
      </c>
      <c r="F2778">
        <v>8.1779199884128602</v>
      </c>
    </row>
    <row r="2779" spans="1:6" x14ac:dyDescent="0.2">
      <c r="A2779">
        <v>736787.64069999999</v>
      </c>
      <c r="B2779">
        <v>-149.59992299999999</v>
      </c>
      <c r="C2779">
        <v>-17.023426000000001</v>
      </c>
      <c r="D2779">
        <v>131.579199884129</v>
      </c>
      <c r="E2779">
        <v>29.4</v>
      </c>
      <c r="F2779">
        <v>8.1779199884128602</v>
      </c>
    </row>
    <row r="2780" spans="1:6" x14ac:dyDescent="0.2">
      <c r="A2780">
        <v>736787.64069999999</v>
      </c>
      <c r="B2780">
        <v>-149.59992</v>
      </c>
      <c r="C2780">
        <v>-17.023437999999999</v>
      </c>
      <c r="D2780">
        <v>131.579199884129</v>
      </c>
      <c r="E2780">
        <v>29.4</v>
      </c>
      <c r="F2780">
        <v>8.1779199884128602</v>
      </c>
    </row>
    <row r="2781" spans="1:6" x14ac:dyDescent="0.2">
      <c r="A2781">
        <v>736787.64080000005</v>
      </c>
      <c r="B2781">
        <v>-149.59991600000001</v>
      </c>
      <c r="C2781">
        <v>-17.023448999999999</v>
      </c>
      <c r="D2781">
        <v>132</v>
      </c>
      <c r="E2781">
        <v>29.462400146448498</v>
      </c>
      <c r="F2781">
        <v>8.1937599853551504</v>
      </c>
    </row>
    <row r="2782" spans="1:6" x14ac:dyDescent="0.2">
      <c r="A2782">
        <v>736787.64080000005</v>
      </c>
      <c r="B2782">
        <v>-149.59990999999999</v>
      </c>
      <c r="C2782">
        <v>-17.02346</v>
      </c>
      <c r="D2782">
        <v>132</v>
      </c>
      <c r="E2782">
        <v>29.462400146448498</v>
      </c>
      <c r="F2782">
        <v>8.1937599853551504</v>
      </c>
    </row>
    <row r="2783" spans="1:6" x14ac:dyDescent="0.2">
      <c r="A2783">
        <v>736787.64080000005</v>
      </c>
      <c r="B2783">
        <v>-149.59990300000001</v>
      </c>
      <c r="C2783">
        <v>-17.02347</v>
      </c>
      <c r="D2783">
        <v>132</v>
      </c>
      <c r="E2783">
        <v>29.462400146448498</v>
      </c>
      <c r="F2783">
        <v>8.1937599853551504</v>
      </c>
    </row>
    <row r="2784" spans="1:6" x14ac:dyDescent="0.2">
      <c r="A2784">
        <v>736787.64080000005</v>
      </c>
      <c r="B2784">
        <v>-149.599898</v>
      </c>
      <c r="C2784">
        <v>-17.023482000000001</v>
      </c>
      <c r="D2784">
        <v>132</v>
      </c>
      <c r="E2784">
        <v>29.462400146448498</v>
      </c>
      <c r="F2784">
        <v>8.1937599853551504</v>
      </c>
    </row>
    <row r="2785" spans="1:6" x14ac:dyDescent="0.2">
      <c r="A2785">
        <v>736787.64080000005</v>
      </c>
      <c r="B2785">
        <v>-149.599897</v>
      </c>
      <c r="C2785">
        <v>-17.023491</v>
      </c>
      <c r="D2785">
        <v>132</v>
      </c>
      <c r="E2785">
        <v>29.462400146448498</v>
      </c>
      <c r="F2785">
        <v>8.1937599853551504</v>
      </c>
    </row>
    <row r="2786" spans="1:6" x14ac:dyDescent="0.2">
      <c r="A2786">
        <v>736787.64080000005</v>
      </c>
      <c r="B2786">
        <v>-149.59989200000001</v>
      </c>
      <c r="C2786">
        <v>-17.023499999999999</v>
      </c>
      <c r="D2786">
        <v>132</v>
      </c>
      <c r="E2786">
        <v>29.462400146448498</v>
      </c>
      <c r="F2786">
        <v>8.1937599853551504</v>
      </c>
    </row>
    <row r="2787" spans="1:6" x14ac:dyDescent="0.2">
      <c r="A2787">
        <v>736787.64080000005</v>
      </c>
      <c r="B2787">
        <v>-149.599885</v>
      </c>
      <c r="C2787">
        <v>-17.023506000000001</v>
      </c>
      <c r="D2787">
        <v>132</v>
      </c>
      <c r="E2787">
        <v>29.462400146448498</v>
      </c>
      <c r="F2787">
        <v>8.1937599853551504</v>
      </c>
    </row>
    <row r="2788" spans="1:6" x14ac:dyDescent="0.2">
      <c r="A2788">
        <v>736787.64080000005</v>
      </c>
      <c r="B2788">
        <v>-149.59987799999999</v>
      </c>
      <c r="C2788">
        <v>-17.023513999999999</v>
      </c>
      <c r="D2788">
        <v>132</v>
      </c>
      <c r="E2788">
        <v>29.462400146448498</v>
      </c>
      <c r="F2788">
        <v>8.1937599853551504</v>
      </c>
    </row>
    <row r="2789" spans="1:6" x14ac:dyDescent="0.2">
      <c r="A2789">
        <v>736787.64080000005</v>
      </c>
      <c r="B2789">
        <v>-149.59986499999999</v>
      </c>
      <c r="C2789">
        <v>-17.023523999999998</v>
      </c>
      <c r="D2789">
        <v>132</v>
      </c>
      <c r="E2789">
        <v>29.462400146448498</v>
      </c>
      <c r="F2789">
        <v>8.1937599853551504</v>
      </c>
    </row>
    <row r="2790" spans="1:6" x14ac:dyDescent="0.2">
      <c r="A2790">
        <v>736787.6409</v>
      </c>
      <c r="B2790">
        <v>-149.599851</v>
      </c>
      <c r="C2790">
        <v>-17.023529</v>
      </c>
      <c r="D2790">
        <v>133.146399639511</v>
      </c>
      <c r="E2790">
        <v>29.5</v>
      </c>
      <c r="F2790">
        <v>8.2640799794006501</v>
      </c>
    </row>
    <row r="2791" spans="1:6" x14ac:dyDescent="0.2">
      <c r="A2791">
        <v>736787.6409</v>
      </c>
      <c r="B2791">
        <v>-149.59983600000001</v>
      </c>
      <c r="C2791">
        <v>-17.023534000000001</v>
      </c>
      <c r="D2791">
        <v>133.146399639511</v>
      </c>
      <c r="E2791">
        <v>29.5</v>
      </c>
      <c r="F2791">
        <v>8.2640799794006501</v>
      </c>
    </row>
    <row r="2792" spans="1:6" x14ac:dyDescent="0.2">
      <c r="A2792">
        <v>736787.6409</v>
      </c>
      <c r="B2792">
        <v>-149.599827</v>
      </c>
      <c r="C2792">
        <v>-17.023537999999999</v>
      </c>
      <c r="D2792">
        <v>133.146399639511</v>
      </c>
      <c r="E2792">
        <v>29.5</v>
      </c>
      <c r="F2792">
        <v>8.2640799794006501</v>
      </c>
    </row>
    <row r="2793" spans="1:6" x14ac:dyDescent="0.2">
      <c r="A2793">
        <v>736787.6409</v>
      </c>
      <c r="B2793">
        <v>-149.599816</v>
      </c>
      <c r="C2793">
        <v>-17.023541999999999</v>
      </c>
      <c r="D2793">
        <v>133.146399639511</v>
      </c>
      <c r="E2793">
        <v>29.5</v>
      </c>
      <c r="F2793">
        <v>8.2640799794006501</v>
      </c>
    </row>
    <row r="2794" spans="1:6" x14ac:dyDescent="0.2">
      <c r="A2794">
        <v>736787.6409</v>
      </c>
      <c r="B2794">
        <v>-149.59979899999999</v>
      </c>
      <c r="C2794">
        <v>-17.023544000000001</v>
      </c>
      <c r="D2794">
        <v>133.146399639511</v>
      </c>
      <c r="E2794">
        <v>29.5</v>
      </c>
      <c r="F2794">
        <v>8.2640799794006501</v>
      </c>
    </row>
    <row r="2795" spans="1:6" x14ac:dyDescent="0.2">
      <c r="A2795">
        <v>736787.6409</v>
      </c>
      <c r="B2795">
        <v>-149.59977900000001</v>
      </c>
      <c r="C2795">
        <v>-17.023541999999999</v>
      </c>
      <c r="D2795">
        <v>133.146399639511</v>
      </c>
      <c r="E2795">
        <v>29.5</v>
      </c>
      <c r="F2795">
        <v>8.2640799794006501</v>
      </c>
    </row>
    <row r="2796" spans="1:6" x14ac:dyDescent="0.2">
      <c r="A2796">
        <v>736787.6409</v>
      </c>
      <c r="B2796">
        <v>-149.599761</v>
      </c>
      <c r="C2796">
        <v>-17.023543</v>
      </c>
      <c r="D2796">
        <v>133.146399639511</v>
      </c>
      <c r="E2796">
        <v>29.5</v>
      </c>
      <c r="F2796">
        <v>8.2640799794006501</v>
      </c>
    </row>
    <row r="2797" spans="1:6" x14ac:dyDescent="0.2">
      <c r="A2797">
        <v>736787.6409</v>
      </c>
      <c r="B2797">
        <v>-149.59974800000001</v>
      </c>
      <c r="C2797">
        <v>-17.023544999999999</v>
      </c>
      <c r="D2797">
        <v>133.146399639511</v>
      </c>
      <c r="E2797">
        <v>29.5</v>
      </c>
      <c r="F2797">
        <v>8.2640799794006501</v>
      </c>
    </row>
    <row r="2798" spans="1:6" x14ac:dyDescent="0.2">
      <c r="A2798">
        <v>736787.6409</v>
      </c>
      <c r="B2798">
        <v>-149.59973400000001</v>
      </c>
      <c r="C2798">
        <v>-17.023547000000001</v>
      </c>
      <c r="D2798">
        <v>133.146399639511</v>
      </c>
      <c r="E2798">
        <v>29.5</v>
      </c>
      <c r="F2798">
        <v>8.2640799794006501</v>
      </c>
    </row>
    <row r="2799" spans="1:6" x14ac:dyDescent="0.2">
      <c r="A2799">
        <v>736787.64099999995</v>
      </c>
      <c r="B2799">
        <v>-149.59971899999999</v>
      </c>
      <c r="C2799">
        <v>-17.023548000000002</v>
      </c>
      <c r="D2799">
        <v>133.65599966204201</v>
      </c>
      <c r="E2799">
        <v>29.5</v>
      </c>
      <c r="F2799">
        <v>8.2931999806881098</v>
      </c>
    </row>
    <row r="2800" spans="1:6" x14ac:dyDescent="0.2">
      <c r="A2800">
        <v>736787.64099999995</v>
      </c>
      <c r="B2800">
        <v>-149.599704</v>
      </c>
      <c r="C2800">
        <v>-17.023551000000001</v>
      </c>
      <c r="D2800">
        <v>133.65599966204201</v>
      </c>
      <c r="E2800">
        <v>29.5</v>
      </c>
      <c r="F2800">
        <v>8.2931999806881098</v>
      </c>
    </row>
    <row r="2801" spans="1:6" x14ac:dyDescent="0.2">
      <c r="A2801">
        <v>736787.64099999995</v>
      </c>
      <c r="B2801">
        <v>-149.59969100000001</v>
      </c>
      <c r="C2801">
        <v>-17.023557</v>
      </c>
      <c r="D2801">
        <v>133.65599966204201</v>
      </c>
      <c r="E2801">
        <v>29.5</v>
      </c>
      <c r="F2801">
        <v>8.2931999806881098</v>
      </c>
    </row>
    <row r="2802" spans="1:6" x14ac:dyDescent="0.2">
      <c r="A2802">
        <v>736787.64099999995</v>
      </c>
      <c r="B2802">
        <v>-149.59967900000001</v>
      </c>
      <c r="C2802">
        <v>-17.023562999999999</v>
      </c>
      <c r="D2802">
        <v>133.65599966204201</v>
      </c>
      <c r="E2802">
        <v>29.5</v>
      </c>
      <c r="F2802">
        <v>8.2931999806881098</v>
      </c>
    </row>
    <row r="2803" spans="1:6" x14ac:dyDescent="0.2">
      <c r="A2803">
        <v>736787.64099999995</v>
      </c>
      <c r="B2803">
        <v>-149.59966800000001</v>
      </c>
      <c r="C2803">
        <v>-17.023565000000001</v>
      </c>
      <c r="D2803">
        <v>133.65599966204201</v>
      </c>
      <c r="E2803">
        <v>29.5</v>
      </c>
      <c r="F2803">
        <v>8.2931999806881098</v>
      </c>
    </row>
    <row r="2804" spans="1:6" x14ac:dyDescent="0.2">
      <c r="A2804">
        <v>736787.64099999995</v>
      </c>
      <c r="B2804">
        <v>-149.59965700000001</v>
      </c>
      <c r="C2804">
        <v>-17.023567</v>
      </c>
      <c r="D2804">
        <v>133.65599966204201</v>
      </c>
      <c r="E2804">
        <v>29.5</v>
      </c>
      <c r="F2804">
        <v>8.2931999806881098</v>
      </c>
    </row>
    <row r="2805" spans="1:6" x14ac:dyDescent="0.2">
      <c r="A2805">
        <v>736787.64099999995</v>
      </c>
      <c r="B2805">
        <v>-149.59964199999999</v>
      </c>
      <c r="C2805">
        <v>-17.023574</v>
      </c>
      <c r="D2805">
        <v>133.65599966204201</v>
      </c>
      <c r="E2805">
        <v>29.5</v>
      </c>
      <c r="F2805">
        <v>8.2931999806881098</v>
      </c>
    </row>
    <row r="2806" spans="1:6" x14ac:dyDescent="0.2">
      <c r="A2806">
        <v>736787.64099999995</v>
      </c>
      <c r="B2806">
        <v>-149.59962999999999</v>
      </c>
      <c r="C2806">
        <v>-17.023581</v>
      </c>
      <c r="D2806">
        <v>133.65599966204201</v>
      </c>
      <c r="E2806">
        <v>29.5</v>
      </c>
      <c r="F2806">
        <v>8.2931999806881098</v>
      </c>
    </row>
    <row r="2807" spans="1:6" x14ac:dyDescent="0.2">
      <c r="A2807">
        <v>736787.64110000001</v>
      </c>
      <c r="B2807">
        <v>-149.59961899999999</v>
      </c>
      <c r="C2807">
        <v>-17.023588</v>
      </c>
      <c r="D2807">
        <v>134.30000000000001</v>
      </c>
      <c r="E2807">
        <v>29.5</v>
      </c>
      <c r="F2807">
        <v>8.33</v>
      </c>
    </row>
    <row r="2808" spans="1:6" x14ac:dyDescent="0.2">
      <c r="A2808">
        <v>736787.64110000001</v>
      </c>
      <c r="B2808">
        <v>-149.59961300000001</v>
      </c>
      <c r="C2808">
        <v>-17.023596999999999</v>
      </c>
      <c r="D2808">
        <v>134.30000000000001</v>
      </c>
      <c r="E2808">
        <v>29.5</v>
      </c>
      <c r="F2808">
        <v>8.33</v>
      </c>
    </row>
    <row r="2809" spans="1:6" x14ac:dyDescent="0.2">
      <c r="A2809">
        <v>736787.64110000001</v>
      </c>
      <c r="B2809">
        <v>-149.59960799999999</v>
      </c>
      <c r="C2809">
        <v>-17.023606000000001</v>
      </c>
      <c r="D2809">
        <v>134.30000000000001</v>
      </c>
      <c r="E2809">
        <v>29.5</v>
      </c>
      <c r="F2809">
        <v>8.33</v>
      </c>
    </row>
    <row r="2810" spans="1:6" x14ac:dyDescent="0.2">
      <c r="A2810">
        <v>736787.64110000001</v>
      </c>
      <c r="B2810">
        <v>-149.59959799999999</v>
      </c>
      <c r="C2810">
        <v>-17.023619</v>
      </c>
      <c r="D2810">
        <v>134.30000000000001</v>
      </c>
      <c r="E2810">
        <v>29.5</v>
      </c>
      <c r="F2810">
        <v>8.33</v>
      </c>
    </row>
    <row r="2811" spans="1:6" x14ac:dyDescent="0.2">
      <c r="A2811">
        <v>736787.64110000001</v>
      </c>
      <c r="B2811">
        <v>-149.599583</v>
      </c>
      <c r="C2811">
        <v>-17.023626</v>
      </c>
      <c r="D2811">
        <v>134.30000000000001</v>
      </c>
      <c r="E2811">
        <v>29.5</v>
      </c>
      <c r="F2811">
        <v>8.33</v>
      </c>
    </row>
    <row r="2812" spans="1:6" x14ac:dyDescent="0.2">
      <c r="A2812">
        <v>736787.64110000001</v>
      </c>
      <c r="B2812">
        <v>-149.59957399999999</v>
      </c>
      <c r="C2812">
        <v>-17.023633</v>
      </c>
      <c r="D2812">
        <v>134.30000000000001</v>
      </c>
      <c r="E2812">
        <v>29.5</v>
      </c>
      <c r="F2812">
        <v>8.33</v>
      </c>
    </row>
    <row r="2813" spans="1:6" x14ac:dyDescent="0.2">
      <c r="A2813">
        <v>736787.64110000001</v>
      </c>
      <c r="B2813">
        <v>-149.59956399999999</v>
      </c>
      <c r="C2813">
        <v>-17.023637999999998</v>
      </c>
      <c r="D2813">
        <v>134.30000000000001</v>
      </c>
      <c r="E2813">
        <v>29.5</v>
      </c>
      <c r="F2813">
        <v>8.33</v>
      </c>
    </row>
    <row r="2814" spans="1:6" x14ac:dyDescent="0.2">
      <c r="A2814">
        <v>736787.64110000001</v>
      </c>
      <c r="B2814">
        <v>-149.59955299999999</v>
      </c>
      <c r="C2814">
        <v>-17.023644999999998</v>
      </c>
      <c r="D2814">
        <v>134.30000000000001</v>
      </c>
      <c r="E2814">
        <v>29.5</v>
      </c>
      <c r="F2814">
        <v>8.33</v>
      </c>
    </row>
    <row r="2815" spans="1:6" x14ac:dyDescent="0.2">
      <c r="A2815">
        <v>736787.64119999995</v>
      </c>
      <c r="B2815">
        <v>-149.599538</v>
      </c>
      <c r="C2815">
        <v>-17.023651000000001</v>
      </c>
      <c r="D2815">
        <v>134.77519970710301</v>
      </c>
      <c r="E2815">
        <v>29.5</v>
      </c>
      <c r="F2815">
        <v>8.3614399832630308</v>
      </c>
    </row>
    <row r="2816" spans="1:6" x14ac:dyDescent="0.2">
      <c r="A2816">
        <v>736787.64119999995</v>
      </c>
      <c r="B2816">
        <v>-149.59952699999999</v>
      </c>
      <c r="C2816">
        <v>-17.023655999999999</v>
      </c>
      <c r="D2816">
        <v>134.77519970710301</v>
      </c>
      <c r="E2816">
        <v>29.5</v>
      </c>
      <c r="F2816">
        <v>8.3614399832630308</v>
      </c>
    </row>
    <row r="2817" spans="1:6" x14ac:dyDescent="0.2">
      <c r="A2817">
        <v>736787.64119999995</v>
      </c>
      <c r="B2817">
        <v>-149.59951699999999</v>
      </c>
      <c r="C2817">
        <v>-17.023664</v>
      </c>
      <c r="D2817">
        <v>134.77519970710301</v>
      </c>
      <c r="E2817">
        <v>29.5</v>
      </c>
      <c r="F2817">
        <v>8.3614399832630308</v>
      </c>
    </row>
    <row r="2818" spans="1:6" x14ac:dyDescent="0.2">
      <c r="A2818">
        <v>736787.64119999995</v>
      </c>
      <c r="B2818">
        <v>-149.599501</v>
      </c>
      <c r="C2818">
        <v>-17.023674</v>
      </c>
      <c r="D2818">
        <v>134.77519970710301</v>
      </c>
      <c r="E2818">
        <v>29.5</v>
      </c>
      <c r="F2818">
        <v>8.3614399832630308</v>
      </c>
    </row>
    <row r="2819" spans="1:6" x14ac:dyDescent="0.2">
      <c r="A2819">
        <v>736787.64119999995</v>
      </c>
      <c r="B2819">
        <v>-149.599492</v>
      </c>
      <c r="C2819">
        <v>-17.023676999999999</v>
      </c>
      <c r="D2819">
        <v>134.77519970710301</v>
      </c>
      <c r="E2819">
        <v>29.5</v>
      </c>
      <c r="F2819">
        <v>8.3614399832630308</v>
      </c>
    </row>
    <row r="2820" spans="1:6" x14ac:dyDescent="0.2">
      <c r="A2820">
        <v>736787.64119999995</v>
      </c>
      <c r="B2820">
        <v>-149.599481</v>
      </c>
      <c r="C2820">
        <v>-17.023681</v>
      </c>
      <c r="D2820">
        <v>134.77519970710301</v>
      </c>
      <c r="E2820">
        <v>29.5</v>
      </c>
      <c r="F2820">
        <v>8.3614399832630308</v>
      </c>
    </row>
    <row r="2821" spans="1:6" x14ac:dyDescent="0.2">
      <c r="A2821">
        <v>736787.64130000002</v>
      </c>
      <c r="B2821">
        <v>-149.599469</v>
      </c>
      <c r="C2821">
        <v>-17.023689999999998</v>
      </c>
      <c r="D2821">
        <v>136.19999999999999</v>
      </c>
      <c r="E2821">
        <v>29.6</v>
      </c>
      <c r="F2821">
        <v>8.44</v>
      </c>
    </row>
    <row r="2822" spans="1:6" x14ac:dyDescent="0.2">
      <c r="A2822">
        <v>736787.64130000002</v>
      </c>
      <c r="B2822">
        <v>-149.599459</v>
      </c>
      <c r="C2822">
        <v>-17.023693000000002</v>
      </c>
      <c r="D2822">
        <v>136.19999999999999</v>
      </c>
      <c r="E2822">
        <v>29.6</v>
      </c>
      <c r="F2822">
        <v>8.44</v>
      </c>
    </row>
    <row r="2823" spans="1:6" x14ac:dyDescent="0.2">
      <c r="A2823">
        <v>736787.64130000002</v>
      </c>
      <c r="B2823">
        <v>-149.599448</v>
      </c>
      <c r="C2823">
        <v>-17.023706000000001</v>
      </c>
      <c r="D2823">
        <v>136.19999999999999</v>
      </c>
      <c r="E2823">
        <v>29.6</v>
      </c>
      <c r="F2823">
        <v>8.44</v>
      </c>
    </row>
    <row r="2824" spans="1:6" x14ac:dyDescent="0.2">
      <c r="A2824">
        <v>736787.64130000002</v>
      </c>
      <c r="B2824">
        <v>-149.599434</v>
      </c>
      <c r="C2824">
        <v>-17.023717999999999</v>
      </c>
      <c r="D2824">
        <v>136.19999999999999</v>
      </c>
      <c r="E2824">
        <v>29.6</v>
      </c>
      <c r="F2824">
        <v>8.44</v>
      </c>
    </row>
    <row r="2825" spans="1:6" x14ac:dyDescent="0.2">
      <c r="A2825">
        <v>736787.64130000002</v>
      </c>
      <c r="B2825">
        <v>-149.59942100000001</v>
      </c>
      <c r="C2825">
        <v>-17.023724000000001</v>
      </c>
      <c r="D2825">
        <v>136.19999999999999</v>
      </c>
      <c r="E2825">
        <v>29.6</v>
      </c>
      <c r="F2825">
        <v>8.44</v>
      </c>
    </row>
    <row r="2826" spans="1:6" x14ac:dyDescent="0.2">
      <c r="A2826">
        <v>736787.64130000002</v>
      </c>
      <c r="B2826">
        <v>-149.59940900000001</v>
      </c>
      <c r="C2826">
        <v>-17.023728999999999</v>
      </c>
      <c r="D2826">
        <v>136.19999999999999</v>
      </c>
      <c r="E2826">
        <v>29.6</v>
      </c>
      <c r="F2826">
        <v>8.44</v>
      </c>
    </row>
    <row r="2827" spans="1:6" x14ac:dyDescent="0.2">
      <c r="A2827">
        <v>736787.64130000002</v>
      </c>
      <c r="B2827">
        <v>-149.59939900000001</v>
      </c>
      <c r="C2827">
        <v>-17.023734999999999</v>
      </c>
      <c r="D2827">
        <v>136.19999999999999</v>
      </c>
      <c r="E2827">
        <v>29.6</v>
      </c>
      <c r="F2827">
        <v>8.44</v>
      </c>
    </row>
    <row r="2828" spans="1:6" x14ac:dyDescent="0.2">
      <c r="A2828">
        <v>736787.64130000002</v>
      </c>
      <c r="B2828">
        <v>-149.59938500000001</v>
      </c>
      <c r="C2828">
        <v>-17.023737000000001</v>
      </c>
      <c r="D2828">
        <v>136.19999999999999</v>
      </c>
      <c r="E2828">
        <v>29.6</v>
      </c>
      <c r="F2828">
        <v>8.44</v>
      </c>
    </row>
    <row r="2829" spans="1:6" x14ac:dyDescent="0.2">
      <c r="A2829">
        <v>736787.64130000002</v>
      </c>
      <c r="B2829">
        <v>-149.59937199999999</v>
      </c>
      <c r="C2829">
        <v>-17.02374</v>
      </c>
      <c r="D2829">
        <v>136.19999999999999</v>
      </c>
      <c r="E2829">
        <v>29.6</v>
      </c>
      <c r="F2829">
        <v>8.44</v>
      </c>
    </row>
    <row r="2830" spans="1:6" x14ac:dyDescent="0.2">
      <c r="A2830">
        <v>736787.64139999996</v>
      </c>
      <c r="B2830">
        <v>-149.599355</v>
      </c>
      <c r="C2830">
        <v>-17.023743</v>
      </c>
      <c r="D2830">
        <v>137.291199610543</v>
      </c>
      <c r="E2830">
        <v>29.6</v>
      </c>
      <c r="F2830">
        <v>8.5094399752164005</v>
      </c>
    </row>
    <row r="2831" spans="1:6" x14ac:dyDescent="0.2">
      <c r="A2831">
        <v>736787.64139999996</v>
      </c>
      <c r="B2831">
        <v>-149.599343</v>
      </c>
      <c r="C2831">
        <v>-17.023745000000002</v>
      </c>
      <c r="D2831">
        <v>137.291199610543</v>
      </c>
      <c r="E2831">
        <v>29.6</v>
      </c>
      <c r="F2831">
        <v>8.5094399752164005</v>
      </c>
    </row>
    <row r="2832" spans="1:6" x14ac:dyDescent="0.2">
      <c r="A2832">
        <v>736787.64139999996</v>
      </c>
      <c r="B2832">
        <v>-149.599333</v>
      </c>
      <c r="C2832">
        <v>-17.023747</v>
      </c>
      <c r="D2832">
        <v>137.291199610543</v>
      </c>
      <c r="E2832">
        <v>29.6</v>
      </c>
      <c r="F2832">
        <v>8.5094399752164005</v>
      </c>
    </row>
    <row r="2833" spans="1:6" x14ac:dyDescent="0.2">
      <c r="A2833">
        <v>736787.64139999996</v>
      </c>
      <c r="B2833">
        <v>-149.59931800000001</v>
      </c>
      <c r="C2833">
        <v>-17.023751000000001</v>
      </c>
      <c r="D2833">
        <v>137.291199610543</v>
      </c>
      <c r="E2833">
        <v>29.6</v>
      </c>
      <c r="F2833">
        <v>8.5094399752164005</v>
      </c>
    </row>
    <row r="2834" spans="1:6" x14ac:dyDescent="0.2">
      <c r="A2834">
        <v>736787.64139999996</v>
      </c>
      <c r="B2834">
        <v>-149.59930800000001</v>
      </c>
      <c r="C2834">
        <v>-17.023752999999999</v>
      </c>
      <c r="D2834">
        <v>137.291199610543</v>
      </c>
      <c r="E2834">
        <v>29.6</v>
      </c>
      <c r="F2834">
        <v>8.5094399752164005</v>
      </c>
    </row>
    <row r="2835" spans="1:6" x14ac:dyDescent="0.2">
      <c r="A2835">
        <v>736787.64139999996</v>
      </c>
      <c r="B2835">
        <v>-149.59929700000001</v>
      </c>
      <c r="C2835">
        <v>-17.023752999999999</v>
      </c>
      <c r="D2835">
        <v>137.291199610543</v>
      </c>
      <c r="E2835">
        <v>29.6</v>
      </c>
      <c r="F2835">
        <v>8.5094399752164005</v>
      </c>
    </row>
    <row r="2836" spans="1:6" x14ac:dyDescent="0.2">
      <c r="A2836">
        <v>736787.64139999996</v>
      </c>
      <c r="B2836">
        <v>-149.59928199999999</v>
      </c>
      <c r="C2836">
        <v>-17.023758000000001</v>
      </c>
      <c r="D2836">
        <v>137.291199610543</v>
      </c>
      <c r="E2836">
        <v>29.6</v>
      </c>
      <c r="F2836">
        <v>8.5094399752164005</v>
      </c>
    </row>
    <row r="2837" spans="1:6" x14ac:dyDescent="0.2">
      <c r="A2837">
        <v>736787.64139999996</v>
      </c>
      <c r="B2837">
        <v>-149.59926899999999</v>
      </c>
      <c r="C2837">
        <v>-17.023762000000001</v>
      </c>
      <c r="D2837">
        <v>137.291199610543</v>
      </c>
      <c r="E2837">
        <v>29.6</v>
      </c>
      <c r="F2837">
        <v>8.5094399752164005</v>
      </c>
    </row>
    <row r="2838" spans="1:6" x14ac:dyDescent="0.2">
      <c r="A2838">
        <v>736787.64139999996</v>
      </c>
      <c r="B2838">
        <v>-149.59925699999999</v>
      </c>
      <c r="C2838">
        <v>-17.023766999999999</v>
      </c>
      <c r="D2838">
        <v>137.291199610543</v>
      </c>
      <c r="E2838">
        <v>29.6</v>
      </c>
      <c r="F2838">
        <v>8.5094399752164005</v>
      </c>
    </row>
    <row r="2839" spans="1:6" x14ac:dyDescent="0.2">
      <c r="A2839">
        <v>736787.64150000003</v>
      </c>
      <c r="B2839">
        <v>-149.599245</v>
      </c>
      <c r="C2839">
        <v>-17.023772000000001</v>
      </c>
      <c r="D2839">
        <v>138</v>
      </c>
      <c r="E2839">
        <v>29.6</v>
      </c>
      <c r="F2839">
        <v>8.5500000000000007</v>
      </c>
    </row>
    <row r="2840" spans="1:6" x14ac:dyDescent="0.2">
      <c r="A2840">
        <v>736787.64150000003</v>
      </c>
      <c r="B2840">
        <v>-149.59923599999999</v>
      </c>
      <c r="C2840">
        <v>-17.023776000000002</v>
      </c>
      <c r="D2840">
        <v>138</v>
      </c>
      <c r="E2840">
        <v>29.6</v>
      </c>
      <c r="F2840">
        <v>8.5500000000000007</v>
      </c>
    </row>
    <row r="2841" spans="1:6" x14ac:dyDescent="0.2">
      <c r="A2841">
        <v>736787.64150000003</v>
      </c>
      <c r="B2841">
        <v>-149.59922700000001</v>
      </c>
      <c r="C2841">
        <v>-17.023779999999999</v>
      </c>
      <c r="D2841">
        <v>138</v>
      </c>
      <c r="E2841">
        <v>29.6</v>
      </c>
      <c r="F2841">
        <v>8.5500000000000007</v>
      </c>
    </row>
    <row r="2842" spans="1:6" x14ac:dyDescent="0.2">
      <c r="A2842">
        <v>736787.64150000003</v>
      </c>
      <c r="B2842">
        <v>-149.59921499999999</v>
      </c>
      <c r="C2842">
        <v>-17.023786999999999</v>
      </c>
      <c r="D2842">
        <v>138</v>
      </c>
      <c r="E2842">
        <v>29.6</v>
      </c>
      <c r="F2842">
        <v>8.5500000000000007</v>
      </c>
    </row>
    <row r="2843" spans="1:6" x14ac:dyDescent="0.2">
      <c r="A2843">
        <v>736787.64150000003</v>
      </c>
      <c r="B2843">
        <v>-149.59920700000001</v>
      </c>
      <c r="C2843">
        <v>-17.023793000000001</v>
      </c>
      <c r="D2843">
        <v>138</v>
      </c>
      <c r="E2843">
        <v>29.6</v>
      </c>
      <c r="F2843">
        <v>8.5500000000000007</v>
      </c>
    </row>
    <row r="2844" spans="1:6" x14ac:dyDescent="0.2">
      <c r="A2844">
        <v>736787.64150000003</v>
      </c>
      <c r="B2844">
        <v>-149.599198</v>
      </c>
      <c r="C2844">
        <v>-17.023797999999999</v>
      </c>
      <c r="D2844">
        <v>138</v>
      </c>
      <c r="E2844">
        <v>29.6</v>
      </c>
      <c r="F2844">
        <v>8.5500000000000007</v>
      </c>
    </row>
    <row r="2845" spans="1:6" x14ac:dyDescent="0.2">
      <c r="A2845">
        <v>736787.64159999997</v>
      </c>
      <c r="B2845">
        <v>-149.59919099999999</v>
      </c>
      <c r="C2845">
        <v>-17.023807999999999</v>
      </c>
      <c r="D2845">
        <v>139.282399623418</v>
      </c>
      <c r="E2845">
        <v>29.7</v>
      </c>
      <c r="F2845">
        <v>8.6158399768257308</v>
      </c>
    </row>
    <row r="2846" spans="1:6" x14ac:dyDescent="0.2">
      <c r="A2846">
        <v>736787.64159999997</v>
      </c>
      <c r="B2846">
        <v>-149.59917999999999</v>
      </c>
      <c r="C2846">
        <v>-17.023821999999999</v>
      </c>
      <c r="D2846">
        <v>139.282399623418</v>
      </c>
      <c r="E2846">
        <v>29.7</v>
      </c>
      <c r="F2846">
        <v>8.6158399768257308</v>
      </c>
    </row>
    <row r="2847" spans="1:6" x14ac:dyDescent="0.2">
      <c r="A2847">
        <v>736787.64159999997</v>
      </c>
      <c r="B2847">
        <v>-149.59917200000001</v>
      </c>
      <c r="C2847">
        <v>-17.023835999999999</v>
      </c>
      <c r="D2847">
        <v>139.282399623418</v>
      </c>
      <c r="E2847">
        <v>29.7</v>
      </c>
      <c r="F2847">
        <v>8.6158399768257308</v>
      </c>
    </row>
    <row r="2848" spans="1:6" x14ac:dyDescent="0.2">
      <c r="A2848">
        <v>736787.64159999997</v>
      </c>
      <c r="B2848">
        <v>-149.59917100000001</v>
      </c>
      <c r="C2848">
        <v>-17.023845999999999</v>
      </c>
      <c r="D2848">
        <v>139.282399623418</v>
      </c>
      <c r="E2848">
        <v>29.7</v>
      </c>
      <c r="F2848">
        <v>8.6158399768257308</v>
      </c>
    </row>
    <row r="2849" spans="1:6" x14ac:dyDescent="0.2">
      <c r="A2849">
        <v>736787.64159999997</v>
      </c>
      <c r="B2849">
        <v>-149.59916699999999</v>
      </c>
      <c r="C2849">
        <v>-17.023859000000002</v>
      </c>
      <c r="D2849">
        <v>139.282399623418</v>
      </c>
      <c r="E2849">
        <v>29.7</v>
      </c>
      <c r="F2849">
        <v>8.6158399768257308</v>
      </c>
    </row>
    <row r="2850" spans="1:6" x14ac:dyDescent="0.2">
      <c r="A2850">
        <v>736787.64170000004</v>
      </c>
      <c r="B2850">
        <v>-149.59916200000001</v>
      </c>
      <c r="C2850">
        <v>-17.023872000000001</v>
      </c>
      <c r="D2850">
        <v>141</v>
      </c>
      <c r="E2850">
        <v>29.7</v>
      </c>
      <c r="F2850">
        <v>8.7200000000000006</v>
      </c>
    </row>
    <row r="2851" spans="1:6" x14ac:dyDescent="0.2">
      <c r="A2851">
        <v>736787.64170000004</v>
      </c>
      <c r="B2851">
        <v>-149.59916000000001</v>
      </c>
      <c r="C2851">
        <v>-17.023883000000001</v>
      </c>
      <c r="D2851">
        <v>141</v>
      </c>
      <c r="E2851">
        <v>29.7</v>
      </c>
      <c r="F2851">
        <v>8.7200000000000006</v>
      </c>
    </row>
    <row r="2852" spans="1:6" x14ac:dyDescent="0.2">
      <c r="A2852">
        <v>736787.64170000004</v>
      </c>
      <c r="B2852">
        <v>-149.59915000000001</v>
      </c>
      <c r="C2852">
        <v>-17.023896000000001</v>
      </c>
      <c r="D2852">
        <v>141</v>
      </c>
      <c r="E2852">
        <v>29.7</v>
      </c>
      <c r="F2852">
        <v>8.7200000000000006</v>
      </c>
    </row>
    <row r="2853" spans="1:6" x14ac:dyDescent="0.2">
      <c r="A2853">
        <v>736787.64170000004</v>
      </c>
      <c r="B2853">
        <v>-149.599141</v>
      </c>
      <c r="C2853">
        <v>-17.023906</v>
      </c>
      <c r="D2853">
        <v>141</v>
      </c>
      <c r="E2853">
        <v>29.7</v>
      </c>
      <c r="F2853">
        <v>8.7200000000000006</v>
      </c>
    </row>
    <row r="2854" spans="1:6" x14ac:dyDescent="0.2">
      <c r="A2854">
        <v>736787.64170000004</v>
      </c>
      <c r="B2854">
        <v>-149.59912600000001</v>
      </c>
      <c r="C2854">
        <v>-17.02392</v>
      </c>
      <c r="D2854">
        <v>141</v>
      </c>
      <c r="E2854">
        <v>29.7</v>
      </c>
      <c r="F2854">
        <v>8.7200000000000006</v>
      </c>
    </row>
    <row r="2855" spans="1:6" x14ac:dyDescent="0.2">
      <c r="A2855">
        <v>736787.64170000004</v>
      </c>
      <c r="B2855">
        <v>-149.59911700000001</v>
      </c>
      <c r="C2855">
        <v>-17.02393</v>
      </c>
      <c r="D2855">
        <v>141</v>
      </c>
      <c r="E2855">
        <v>29.7</v>
      </c>
      <c r="F2855">
        <v>8.7200000000000006</v>
      </c>
    </row>
    <row r="2856" spans="1:6" x14ac:dyDescent="0.2">
      <c r="A2856">
        <v>736787.64179999998</v>
      </c>
      <c r="B2856">
        <v>-149.59911</v>
      </c>
      <c r="C2856">
        <v>-17.023937</v>
      </c>
      <c r="D2856">
        <v>142.084799729633</v>
      </c>
      <c r="E2856">
        <v>29.7</v>
      </c>
      <c r="F2856">
        <v>8.7923199819755702</v>
      </c>
    </row>
    <row r="2857" spans="1:6" x14ac:dyDescent="0.2">
      <c r="A2857">
        <v>736787.64179999998</v>
      </c>
      <c r="B2857">
        <v>-149.59910099999999</v>
      </c>
      <c r="C2857">
        <v>-17.023942999999999</v>
      </c>
      <c r="D2857">
        <v>142.084799729633</v>
      </c>
      <c r="E2857">
        <v>29.7</v>
      </c>
      <c r="F2857">
        <v>8.7923199819755702</v>
      </c>
    </row>
    <row r="2858" spans="1:6" x14ac:dyDescent="0.2">
      <c r="A2858">
        <v>736787.64179999998</v>
      </c>
      <c r="B2858">
        <v>-149.59908300000001</v>
      </c>
      <c r="C2858">
        <v>-17.023948000000001</v>
      </c>
      <c r="D2858">
        <v>142.084799729633</v>
      </c>
      <c r="E2858">
        <v>29.7</v>
      </c>
      <c r="F2858">
        <v>8.7923199819755702</v>
      </c>
    </row>
    <row r="2859" spans="1:6" x14ac:dyDescent="0.2">
      <c r="A2859">
        <v>736787.64179999998</v>
      </c>
      <c r="B2859">
        <v>-149.59907100000001</v>
      </c>
      <c r="C2859">
        <v>-17.023954</v>
      </c>
      <c r="D2859">
        <v>142.084799729633</v>
      </c>
      <c r="E2859">
        <v>29.7</v>
      </c>
      <c r="F2859">
        <v>8.7923199819755702</v>
      </c>
    </row>
    <row r="2860" spans="1:6" x14ac:dyDescent="0.2">
      <c r="A2860">
        <v>736787.64179999998</v>
      </c>
      <c r="B2860">
        <v>-149.59906100000001</v>
      </c>
      <c r="C2860">
        <v>-17.023959000000001</v>
      </c>
      <c r="D2860">
        <v>142.084799729633</v>
      </c>
      <c r="E2860">
        <v>29.7</v>
      </c>
      <c r="F2860">
        <v>8.7923199819755702</v>
      </c>
    </row>
    <row r="2861" spans="1:6" x14ac:dyDescent="0.2">
      <c r="A2861">
        <v>736787.64179999998</v>
      </c>
      <c r="B2861">
        <v>-149.59904800000001</v>
      </c>
      <c r="C2861">
        <v>-17.023962000000001</v>
      </c>
      <c r="D2861">
        <v>142.084799729633</v>
      </c>
      <c r="E2861">
        <v>29.7</v>
      </c>
      <c r="F2861">
        <v>8.7923199819755702</v>
      </c>
    </row>
    <row r="2862" spans="1:6" x14ac:dyDescent="0.2">
      <c r="A2862">
        <v>736787.64179999998</v>
      </c>
      <c r="B2862">
        <v>-149.59903800000001</v>
      </c>
      <c r="C2862">
        <v>-17.023966999999999</v>
      </c>
      <c r="D2862">
        <v>142.084799729633</v>
      </c>
      <c r="E2862">
        <v>29.7</v>
      </c>
      <c r="F2862">
        <v>8.7923199819755702</v>
      </c>
    </row>
    <row r="2863" spans="1:6" x14ac:dyDescent="0.2">
      <c r="A2863">
        <v>736787.64190000005</v>
      </c>
      <c r="B2863">
        <v>-149.59902700000001</v>
      </c>
      <c r="C2863">
        <v>-17.023972000000001</v>
      </c>
      <c r="D2863">
        <v>143</v>
      </c>
      <c r="E2863">
        <v>29.7</v>
      </c>
      <c r="F2863">
        <v>8.84</v>
      </c>
    </row>
    <row r="2864" spans="1:6" x14ac:dyDescent="0.2">
      <c r="A2864">
        <v>736787.64190000005</v>
      </c>
      <c r="B2864">
        <v>-149.59901099999999</v>
      </c>
      <c r="C2864">
        <v>-17.023976999999999</v>
      </c>
      <c r="D2864">
        <v>143</v>
      </c>
      <c r="E2864">
        <v>29.7</v>
      </c>
      <c r="F2864">
        <v>8.84</v>
      </c>
    </row>
    <row r="2865" spans="1:6" x14ac:dyDescent="0.2">
      <c r="A2865">
        <v>736787.64190000005</v>
      </c>
      <c r="B2865">
        <v>-149.59899799999999</v>
      </c>
      <c r="C2865">
        <v>-17.023978</v>
      </c>
      <c r="D2865">
        <v>143</v>
      </c>
      <c r="E2865">
        <v>29.7</v>
      </c>
      <c r="F2865">
        <v>8.84</v>
      </c>
    </row>
    <row r="2866" spans="1:6" x14ac:dyDescent="0.2">
      <c r="A2866">
        <v>736787.64190000005</v>
      </c>
      <c r="B2866">
        <v>-149.598985</v>
      </c>
      <c r="C2866">
        <v>-17.023979000000001</v>
      </c>
      <c r="D2866">
        <v>143</v>
      </c>
      <c r="E2866">
        <v>29.7</v>
      </c>
      <c r="F2866">
        <v>8.84</v>
      </c>
    </row>
    <row r="2867" spans="1:6" x14ac:dyDescent="0.2">
      <c r="A2867">
        <v>736787.64190000005</v>
      </c>
      <c r="B2867">
        <v>-149.598973</v>
      </c>
      <c r="C2867">
        <v>-17.023980999999999</v>
      </c>
      <c r="D2867">
        <v>143</v>
      </c>
      <c r="E2867">
        <v>29.7</v>
      </c>
      <c r="F2867">
        <v>8.84</v>
      </c>
    </row>
    <row r="2868" spans="1:6" x14ac:dyDescent="0.2">
      <c r="A2868">
        <v>736787.64190000005</v>
      </c>
      <c r="B2868">
        <v>-149.59896000000001</v>
      </c>
      <c r="C2868">
        <v>-17.023983999999999</v>
      </c>
      <c r="D2868">
        <v>143</v>
      </c>
      <c r="E2868">
        <v>29.7</v>
      </c>
      <c r="F2868">
        <v>8.84</v>
      </c>
    </row>
    <row r="2869" spans="1:6" x14ac:dyDescent="0.2">
      <c r="A2869">
        <v>736787.64190000005</v>
      </c>
      <c r="B2869">
        <v>-149.598949</v>
      </c>
      <c r="C2869">
        <v>-17.023987000000002</v>
      </c>
      <c r="D2869">
        <v>143</v>
      </c>
      <c r="E2869">
        <v>29.7</v>
      </c>
      <c r="F2869">
        <v>8.84</v>
      </c>
    </row>
    <row r="2870" spans="1:6" x14ac:dyDescent="0.2">
      <c r="A2870">
        <v>736787.64190000005</v>
      </c>
      <c r="B2870">
        <v>-149.598938</v>
      </c>
      <c r="C2870">
        <v>-17.023987000000002</v>
      </c>
      <c r="D2870">
        <v>143</v>
      </c>
      <c r="E2870">
        <v>29.7</v>
      </c>
      <c r="F2870">
        <v>8.84</v>
      </c>
    </row>
    <row r="2871" spans="1:6" x14ac:dyDescent="0.2">
      <c r="A2871">
        <v>736787.64199999999</v>
      </c>
      <c r="B2871">
        <v>-149.59892500000001</v>
      </c>
      <c r="C2871">
        <v>-17.023986000000001</v>
      </c>
      <c r="D2871">
        <v>144.10799995171999</v>
      </c>
      <c r="E2871">
        <v>29.7</v>
      </c>
      <c r="F2871">
        <v>8.9071999967813493</v>
      </c>
    </row>
    <row r="2872" spans="1:6" x14ac:dyDescent="0.2">
      <c r="A2872">
        <v>736787.64199999999</v>
      </c>
      <c r="B2872">
        <v>-149.59891300000001</v>
      </c>
      <c r="C2872">
        <v>-17.023983999999999</v>
      </c>
      <c r="D2872">
        <v>144.10799995171999</v>
      </c>
      <c r="E2872">
        <v>29.7</v>
      </c>
      <c r="F2872">
        <v>8.9071999967813493</v>
      </c>
    </row>
    <row r="2873" spans="1:6" x14ac:dyDescent="0.2">
      <c r="A2873">
        <v>736787.64199999999</v>
      </c>
      <c r="B2873">
        <v>-149.59889999999999</v>
      </c>
      <c r="C2873">
        <v>-17.023985</v>
      </c>
      <c r="D2873">
        <v>144.10799995171999</v>
      </c>
      <c r="E2873">
        <v>29.7</v>
      </c>
      <c r="F2873">
        <v>8.9071999967813493</v>
      </c>
    </row>
    <row r="2874" spans="1:6" x14ac:dyDescent="0.2">
      <c r="A2874">
        <v>736787.64199999999</v>
      </c>
      <c r="B2874">
        <v>-149.59888699999999</v>
      </c>
      <c r="C2874">
        <v>-17.023983999999999</v>
      </c>
      <c r="D2874">
        <v>144.10799995171999</v>
      </c>
      <c r="E2874">
        <v>29.7</v>
      </c>
      <c r="F2874">
        <v>8.9071999967813493</v>
      </c>
    </row>
    <row r="2875" spans="1:6" x14ac:dyDescent="0.2">
      <c r="A2875">
        <v>736787.64199999999</v>
      </c>
      <c r="B2875">
        <v>-149.598872</v>
      </c>
      <c r="C2875">
        <v>-17.023976999999999</v>
      </c>
      <c r="D2875">
        <v>144.10799995171999</v>
      </c>
      <c r="E2875">
        <v>29.7</v>
      </c>
      <c r="F2875">
        <v>8.9071999967813493</v>
      </c>
    </row>
    <row r="2876" spans="1:6" x14ac:dyDescent="0.2">
      <c r="A2876">
        <v>736787.64210000006</v>
      </c>
      <c r="B2876">
        <v>-149.59885800000001</v>
      </c>
      <c r="C2876">
        <v>-17.023963999999999</v>
      </c>
      <c r="D2876">
        <v>144.34400094145499</v>
      </c>
      <c r="E2876">
        <v>29.7</v>
      </c>
      <c r="F2876">
        <v>8.9226400564872907</v>
      </c>
    </row>
    <row r="2877" spans="1:6" x14ac:dyDescent="0.2">
      <c r="A2877">
        <v>736787.64210000006</v>
      </c>
      <c r="B2877">
        <v>-149.598849</v>
      </c>
      <c r="C2877">
        <v>-17.023959000000001</v>
      </c>
      <c r="D2877">
        <v>144.34400094145499</v>
      </c>
      <c r="E2877">
        <v>29.7</v>
      </c>
      <c r="F2877">
        <v>8.9226400564872907</v>
      </c>
    </row>
    <row r="2878" spans="1:6" x14ac:dyDescent="0.2">
      <c r="A2878">
        <v>736787.64210000006</v>
      </c>
      <c r="B2878">
        <v>-149.598837</v>
      </c>
      <c r="C2878">
        <v>-17.023954</v>
      </c>
      <c r="D2878">
        <v>144.34400094145499</v>
      </c>
      <c r="E2878">
        <v>29.7</v>
      </c>
      <c r="F2878">
        <v>8.9226400564872907</v>
      </c>
    </row>
    <row r="2879" spans="1:6" x14ac:dyDescent="0.2">
      <c r="A2879">
        <v>736787.64210000006</v>
      </c>
      <c r="B2879">
        <v>-149.59882200000001</v>
      </c>
      <c r="C2879">
        <v>-17.023951</v>
      </c>
      <c r="D2879">
        <v>144.34400094145499</v>
      </c>
      <c r="E2879">
        <v>29.7</v>
      </c>
      <c r="F2879">
        <v>8.9226400564872907</v>
      </c>
    </row>
    <row r="2880" spans="1:6" x14ac:dyDescent="0.2">
      <c r="A2880">
        <v>736787.6422</v>
      </c>
      <c r="B2880">
        <v>-149.598806</v>
      </c>
      <c r="C2880">
        <v>-17.023951</v>
      </c>
      <c r="D2880">
        <v>145.20799995172001</v>
      </c>
      <c r="E2880">
        <v>29.781599990344102</v>
      </c>
      <c r="F2880">
        <v>8.9744799971032201</v>
      </c>
    </row>
    <row r="2881" spans="1:6" x14ac:dyDescent="0.2">
      <c r="A2881">
        <v>736787.6422</v>
      </c>
      <c r="B2881">
        <v>-149.598793</v>
      </c>
      <c r="C2881">
        <v>-17.023956999999999</v>
      </c>
      <c r="D2881">
        <v>145.20799995172001</v>
      </c>
      <c r="E2881">
        <v>29.781599990344102</v>
      </c>
      <c r="F2881">
        <v>8.9744799971032201</v>
      </c>
    </row>
    <row r="2882" spans="1:6" x14ac:dyDescent="0.2">
      <c r="A2882">
        <v>736787.6422</v>
      </c>
      <c r="B2882">
        <v>-149.59877900000001</v>
      </c>
      <c r="C2882">
        <v>-17.023961</v>
      </c>
      <c r="D2882">
        <v>145.20799995172001</v>
      </c>
      <c r="E2882">
        <v>29.781599990344102</v>
      </c>
      <c r="F2882">
        <v>8.9744799971032201</v>
      </c>
    </row>
    <row r="2883" spans="1:6" x14ac:dyDescent="0.2">
      <c r="A2883">
        <v>736787.6422</v>
      </c>
      <c r="B2883">
        <v>-149.59876399999999</v>
      </c>
      <c r="C2883">
        <v>-17.023966999999999</v>
      </c>
      <c r="D2883">
        <v>145.20799995172001</v>
      </c>
      <c r="E2883">
        <v>29.781599990344102</v>
      </c>
      <c r="F2883">
        <v>8.9744799971032201</v>
      </c>
    </row>
    <row r="2884" spans="1:6" x14ac:dyDescent="0.2">
      <c r="A2884">
        <v>736787.6422</v>
      </c>
      <c r="B2884">
        <v>-149.59875500000001</v>
      </c>
      <c r="C2884">
        <v>-17.023973999999999</v>
      </c>
      <c r="D2884">
        <v>145.20799995172001</v>
      </c>
      <c r="E2884">
        <v>29.781599990344102</v>
      </c>
      <c r="F2884">
        <v>8.9744799971032201</v>
      </c>
    </row>
    <row r="2885" spans="1:6" x14ac:dyDescent="0.2">
      <c r="A2885">
        <v>736787.6422</v>
      </c>
      <c r="B2885">
        <v>-149.598748</v>
      </c>
      <c r="C2885">
        <v>-17.023980000000002</v>
      </c>
      <c r="D2885">
        <v>145.20799995172001</v>
      </c>
      <c r="E2885">
        <v>29.781599990344102</v>
      </c>
      <c r="F2885">
        <v>8.9744799971032201</v>
      </c>
    </row>
    <row r="2886" spans="1:6" x14ac:dyDescent="0.2">
      <c r="A2886">
        <v>736787.64229999995</v>
      </c>
      <c r="B2886">
        <v>-149.59872799999999</v>
      </c>
      <c r="C2886">
        <v>-17.023990000000001</v>
      </c>
      <c r="D2886">
        <v>145.72639941098601</v>
      </c>
      <c r="E2886">
        <v>29.8</v>
      </c>
      <c r="F2886">
        <v>9.0017599607324001</v>
      </c>
    </row>
    <row r="2887" spans="1:6" x14ac:dyDescent="0.2">
      <c r="A2887">
        <v>736787.64229999995</v>
      </c>
      <c r="B2887">
        <v>-149.59871799999999</v>
      </c>
      <c r="C2887">
        <v>-17.023996</v>
      </c>
      <c r="D2887">
        <v>145.72639941098601</v>
      </c>
      <c r="E2887">
        <v>29.8</v>
      </c>
      <c r="F2887">
        <v>9.0017599607324001</v>
      </c>
    </row>
    <row r="2888" spans="1:6" x14ac:dyDescent="0.2">
      <c r="A2888">
        <v>736787.64229999995</v>
      </c>
      <c r="B2888">
        <v>-149.59871000000001</v>
      </c>
      <c r="C2888">
        <v>-17.024000999999998</v>
      </c>
      <c r="D2888">
        <v>145.72639941098601</v>
      </c>
      <c r="E2888">
        <v>29.8</v>
      </c>
      <c r="F2888">
        <v>9.0017599607324001</v>
      </c>
    </row>
    <row r="2889" spans="1:6" x14ac:dyDescent="0.2">
      <c r="A2889">
        <v>736787.64229999995</v>
      </c>
      <c r="B2889">
        <v>-149.59869900000001</v>
      </c>
      <c r="C2889">
        <v>-17.024009</v>
      </c>
      <c r="D2889">
        <v>145.72639941098601</v>
      </c>
      <c r="E2889">
        <v>29.8</v>
      </c>
      <c r="F2889">
        <v>9.0017599607324001</v>
      </c>
    </row>
    <row r="2890" spans="1:6" x14ac:dyDescent="0.2">
      <c r="A2890">
        <v>736787.64229999995</v>
      </c>
      <c r="B2890">
        <v>-149.59868499999999</v>
      </c>
      <c r="C2890">
        <v>-17.024017000000001</v>
      </c>
      <c r="D2890">
        <v>145.72639941098601</v>
      </c>
      <c r="E2890">
        <v>29.8</v>
      </c>
      <c r="F2890">
        <v>9.0017599607324001</v>
      </c>
    </row>
    <row r="2891" spans="1:6" x14ac:dyDescent="0.2">
      <c r="A2891">
        <v>736787.64229999995</v>
      </c>
      <c r="B2891">
        <v>-149.59867299999999</v>
      </c>
      <c r="C2891">
        <v>-17.024021000000001</v>
      </c>
      <c r="D2891">
        <v>145.72639941098601</v>
      </c>
      <c r="E2891">
        <v>29.8</v>
      </c>
      <c r="F2891">
        <v>9.0017599607324001</v>
      </c>
    </row>
    <row r="2892" spans="1:6" x14ac:dyDescent="0.2">
      <c r="A2892">
        <v>736787.64229999995</v>
      </c>
      <c r="B2892">
        <v>-149.59866199999999</v>
      </c>
      <c r="C2892">
        <v>-17.024027</v>
      </c>
      <c r="D2892">
        <v>145.72639941098601</v>
      </c>
      <c r="E2892">
        <v>29.8</v>
      </c>
      <c r="F2892">
        <v>9.0017599607324001</v>
      </c>
    </row>
    <row r="2893" spans="1:6" x14ac:dyDescent="0.2">
      <c r="A2893">
        <v>736787.64240000001</v>
      </c>
      <c r="B2893">
        <v>-149.59864999999999</v>
      </c>
      <c r="C2893">
        <v>-17.024038000000001</v>
      </c>
      <c r="D2893">
        <v>145.899199964595</v>
      </c>
      <c r="E2893">
        <v>29.827199996781399</v>
      </c>
      <c r="F2893">
        <v>9.0063199980688093</v>
      </c>
    </row>
    <row r="2894" spans="1:6" x14ac:dyDescent="0.2">
      <c r="A2894">
        <v>736787.64240000001</v>
      </c>
      <c r="B2894">
        <v>-149.598637</v>
      </c>
      <c r="C2894">
        <v>-17.024041</v>
      </c>
      <c r="D2894">
        <v>145.899199964595</v>
      </c>
      <c r="E2894">
        <v>29.827199996781399</v>
      </c>
      <c r="F2894">
        <v>9.0063199980688093</v>
      </c>
    </row>
    <row r="2895" spans="1:6" x14ac:dyDescent="0.2">
      <c r="A2895">
        <v>736787.64240000001</v>
      </c>
      <c r="B2895">
        <v>-149.598625</v>
      </c>
      <c r="C2895">
        <v>-17.024041</v>
      </c>
      <c r="D2895">
        <v>145.899199964595</v>
      </c>
      <c r="E2895">
        <v>29.827199996781399</v>
      </c>
      <c r="F2895">
        <v>9.0063199980688093</v>
      </c>
    </row>
    <row r="2896" spans="1:6" x14ac:dyDescent="0.2">
      <c r="A2896">
        <v>736787.64240000001</v>
      </c>
      <c r="B2896">
        <v>-149.598613</v>
      </c>
      <c r="C2896">
        <v>-17.024042000000001</v>
      </c>
      <c r="D2896">
        <v>145.899199964595</v>
      </c>
      <c r="E2896">
        <v>29.827199996781399</v>
      </c>
      <c r="F2896">
        <v>9.0063199980688093</v>
      </c>
    </row>
    <row r="2897" spans="1:6" x14ac:dyDescent="0.2">
      <c r="A2897">
        <v>736787.64240000001</v>
      </c>
      <c r="B2897">
        <v>-149.5986</v>
      </c>
      <c r="C2897">
        <v>-17.024045000000001</v>
      </c>
      <c r="D2897">
        <v>145.899199964595</v>
      </c>
      <c r="E2897">
        <v>29.827199996781399</v>
      </c>
      <c r="F2897">
        <v>9.0063199980688093</v>
      </c>
    </row>
    <row r="2898" spans="1:6" x14ac:dyDescent="0.2">
      <c r="A2898">
        <v>736787.64240000001</v>
      </c>
      <c r="B2898">
        <v>-149.59858600000001</v>
      </c>
      <c r="C2898">
        <v>-17.024046999999999</v>
      </c>
      <c r="D2898">
        <v>145.899199964595</v>
      </c>
      <c r="E2898">
        <v>29.827199996781399</v>
      </c>
      <c r="F2898">
        <v>9.0063199980688093</v>
      </c>
    </row>
    <row r="2899" spans="1:6" x14ac:dyDescent="0.2">
      <c r="A2899">
        <v>736787.64249999996</v>
      </c>
      <c r="B2899">
        <v>-149.59856400000001</v>
      </c>
      <c r="C2899">
        <v>-17.024054</v>
      </c>
      <c r="D2899">
        <v>146.69999999999999</v>
      </c>
      <c r="E2899">
        <v>29.9</v>
      </c>
      <c r="F2899">
        <v>9.0399999999999991</v>
      </c>
    </row>
    <row r="2900" spans="1:6" x14ac:dyDescent="0.2">
      <c r="A2900">
        <v>736787.64249999996</v>
      </c>
      <c r="B2900">
        <v>-149.59855200000001</v>
      </c>
      <c r="C2900">
        <v>-17.024058</v>
      </c>
      <c r="D2900">
        <v>146.69999999999999</v>
      </c>
      <c r="E2900">
        <v>29.9</v>
      </c>
      <c r="F2900">
        <v>9.0399999999999991</v>
      </c>
    </row>
    <row r="2901" spans="1:6" x14ac:dyDescent="0.2">
      <c r="A2901">
        <v>736787.64249999996</v>
      </c>
      <c r="B2901">
        <v>-149.59854100000001</v>
      </c>
      <c r="C2901">
        <v>-17.024063999999999</v>
      </c>
      <c r="D2901">
        <v>146.69999999999999</v>
      </c>
      <c r="E2901">
        <v>29.9</v>
      </c>
      <c r="F2901">
        <v>9.0399999999999991</v>
      </c>
    </row>
    <row r="2902" spans="1:6" x14ac:dyDescent="0.2">
      <c r="A2902">
        <v>736787.64249999996</v>
      </c>
      <c r="B2902">
        <v>-149.598523</v>
      </c>
      <c r="C2902">
        <v>-17.024068</v>
      </c>
      <c r="D2902">
        <v>146.69999999999999</v>
      </c>
      <c r="E2902">
        <v>29.9</v>
      </c>
      <c r="F2902">
        <v>9.0399999999999991</v>
      </c>
    </row>
    <row r="2903" spans="1:6" x14ac:dyDescent="0.2">
      <c r="A2903">
        <v>736787.64249999996</v>
      </c>
      <c r="B2903">
        <v>-149.598512</v>
      </c>
      <c r="C2903">
        <v>-17.024068</v>
      </c>
      <c r="D2903">
        <v>146.69999999999999</v>
      </c>
      <c r="E2903">
        <v>29.9</v>
      </c>
      <c r="F2903">
        <v>9.0399999999999991</v>
      </c>
    </row>
    <row r="2904" spans="1:6" x14ac:dyDescent="0.2">
      <c r="A2904">
        <v>736787.64249999996</v>
      </c>
      <c r="B2904">
        <v>-149.59848299999999</v>
      </c>
      <c r="C2904">
        <v>-17.024075</v>
      </c>
      <c r="D2904">
        <v>146.69999999999999</v>
      </c>
      <c r="E2904">
        <v>29.9</v>
      </c>
      <c r="F2904">
        <v>9.0399999999999991</v>
      </c>
    </row>
    <row r="2905" spans="1:6" x14ac:dyDescent="0.2">
      <c r="A2905">
        <v>736787.64249999996</v>
      </c>
      <c r="B2905">
        <v>-149.59847199999999</v>
      </c>
      <c r="C2905">
        <v>-17.024073999999999</v>
      </c>
      <c r="D2905">
        <v>146.69999999999999</v>
      </c>
      <c r="E2905">
        <v>29.9</v>
      </c>
      <c r="F2905">
        <v>9.0399999999999991</v>
      </c>
    </row>
    <row r="2906" spans="1:6" x14ac:dyDescent="0.2">
      <c r="A2906">
        <v>736787.64249999996</v>
      </c>
      <c r="B2906">
        <v>-149.598457</v>
      </c>
      <c r="C2906">
        <v>-17.024076000000001</v>
      </c>
      <c r="D2906">
        <v>146.69999999999999</v>
      </c>
      <c r="E2906">
        <v>29.9</v>
      </c>
      <c r="F2906">
        <v>9.0399999999999991</v>
      </c>
    </row>
    <row r="2907" spans="1:6" x14ac:dyDescent="0.2">
      <c r="A2907">
        <v>736787.64260000002</v>
      </c>
      <c r="B2907">
        <v>-149.59843699999999</v>
      </c>
      <c r="C2907">
        <v>-17.024082</v>
      </c>
      <c r="D2907">
        <v>150.24720007724801</v>
      </c>
      <c r="E2907">
        <v>29.972800003218701</v>
      </c>
      <c r="F2907">
        <v>9.2519200045061094</v>
      </c>
    </row>
    <row r="2908" spans="1:6" x14ac:dyDescent="0.2">
      <c r="A2908">
        <v>736787.64260000002</v>
      </c>
      <c r="B2908">
        <v>-149.59842599999999</v>
      </c>
      <c r="C2908">
        <v>-17.024082</v>
      </c>
      <c r="D2908">
        <v>150.24720007724801</v>
      </c>
      <c r="E2908">
        <v>29.972800003218701</v>
      </c>
      <c r="F2908">
        <v>9.2519200045061094</v>
      </c>
    </row>
    <row r="2909" spans="1:6" x14ac:dyDescent="0.2">
      <c r="A2909">
        <v>736787.64260000002</v>
      </c>
      <c r="B2909">
        <v>-149.59841299999999</v>
      </c>
      <c r="C2909">
        <v>-17.024086</v>
      </c>
      <c r="D2909">
        <v>150.24720007724801</v>
      </c>
      <c r="E2909">
        <v>29.972800003218701</v>
      </c>
      <c r="F2909">
        <v>9.2519200045061094</v>
      </c>
    </row>
    <row r="2910" spans="1:6" x14ac:dyDescent="0.2">
      <c r="A2910">
        <v>736787.64260000002</v>
      </c>
      <c r="B2910">
        <v>-149.59839500000001</v>
      </c>
      <c r="C2910">
        <v>-17.024094000000002</v>
      </c>
      <c r="D2910">
        <v>150.24720007724801</v>
      </c>
      <c r="E2910">
        <v>29.972800003218701</v>
      </c>
      <c r="F2910">
        <v>9.2519200045061094</v>
      </c>
    </row>
    <row r="2911" spans="1:6" x14ac:dyDescent="0.2">
      <c r="A2911">
        <v>736787.64260000002</v>
      </c>
      <c r="B2911">
        <v>-149.59838300000001</v>
      </c>
      <c r="C2911">
        <v>-17.024092</v>
      </c>
      <c r="D2911">
        <v>150.24720007724801</v>
      </c>
      <c r="E2911">
        <v>29.972800003218701</v>
      </c>
      <c r="F2911">
        <v>9.2519200045061094</v>
      </c>
    </row>
    <row r="2912" spans="1:6" x14ac:dyDescent="0.2">
      <c r="A2912">
        <v>736787.64260000002</v>
      </c>
      <c r="B2912">
        <v>-149.59837099999999</v>
      </c>
      <c r="C2912">
        <v>-17.024094999999999</v>
      </c>
      <c r="D2912">
        <v>150.24720007724801</v>
      </c>
      <c r="E2912">
        <v>29.972800003218701</v>
      </c>
      <c r="F2912">
        <v>9.2519200045061094</v>
      </c>
    </row>
    <row r="2913" spans="1:6" x14ac:dyDescent="0.2">
      <c r="A2913">
        <v>736787.64260000002</v>
      </c>
      <c r="B2913">
        <v>-149.59835699999999</v>
      </c>
      <c r="C2913">
        <v>-17.024104000000001</v>
      </c>
      <c r="D2913">
        <v>150.24720007724801</v>
      </c>
      <c r="E2913">
        <v>29.972800003218701</v>
      </c>
      <c r="F2913">
        <v>9.2519200045061094</v>
      </c>
    </row>
    <row r="2914" spans="1:6" x14ac:dyDescent="0.2">
      <c r="A2914">
        <v>736787.64260000002</v>
      </c>
      <c r="B2914">
        <v>-149.59834499999999</v>
      </c>
      <c r="C2914">
        <v>-17.024106</v>
      </c>
      <c r="D2914">
        <v>150.24720007724801</v>
      </c>
      <c r="E2914">
        <v>29.972800003218701</v>
      </c>
      <c r="F2914">
        <v>9.2519200045061094</v>
      </c>
    </row>
    <row r="2915" spans="1:6" x14ac:dyDescent="0.2">
      <c r="A2915">
        <v>736787.64269999997</v>
      </c>
      <c r="B2915">
        <v>-149.59833</v>
      </c>
      <c r="C2915">
        <v>-17.024103</v>
      </c>
      <c r="D2915">
        <v>151.082400025749</v>
      </c>
      <c r="E2915">
        <v>30</v>
      </c>
      <c r="F2915">
        <v>9.3036800019311894</v>
      </c>
    </row>
    <row r="2916" spans="1:6" x14ac:dyDescent="0.2">
      <c r="A2916">
        <v>736787.64269999997</v>
      </c>
      <c r="B2916">
        <v>-149.59831199999999</v>
      </c>
      <c r="C2916">
        <v>-17.024104000000001</v>
      </c>
      <c r="D2916">
        <v>151.082400025749</v>
      </c>
      <c r="E2916">
        <v>30</v>
      </c>
      <c r="F2916">
        <v>9.3036800019311894</v>
      </c>
    </row>
    <row r="2917" spans="1:6" x14ac:dyDescent="0.2">
      <c r="A2917">
        <v>736787.64269999997</v>
      </c>
      <c r="B2917">
        <v>-149.598297</v>
      </c>
      <c r="C2917">
        <v>-17.024100000000001</v>
      </c>
      <c r="D2917">
        <v>151.082400025749</v>
      </c>
      <c r="E2917">
        <v>30</v>
      </c>
      <c r="F2917">
        <v>9.3036800019311894</v>
      </c>
    </row>
    <row r="2918" spans="1:6" x14ac:dyDescent="0.2">
      <c r="A2918">
        <v>736787.64269999997</v>
      </c>
      <c r="B2918">
        <v>-149.59827899999999</v>
      </c>
      <c r="C2918">
        <v>-17.024097000000001</v>
      </c>
      <c r="D2918">
        <v>151.082400025749</v>
      </c>
      <c r="E2918">
        <v>30</v>
      </c>
      <c r="F2918">
        <v>9.3036800019311894</v>
      </c>
    </row>
    <row r="2919" spans="1:6" x14ac:dyDescent="0.2">
      <c r="A2919">
        <v>736787.64269999997</v>
      </c>
      <c r="B2919">
        <v>-149.59826799999999</v>
      </c>
      <c r="C2919">
        <v>-17.024094000000002</v>
      </c>
      <c r="D2919">
        <v>151.082400025749</v>
      </c>
      <c r="E2919">
        <v>30</v>
      </c>
      <c r="F2919">
        <v>9.3036800019311894</v>
      </c>
    </row>
    <row r="2920" spans="1:6" x14ac:dyDescent="0.2">
      <c r="A2920">
        <v>736787.64269999997</v>
      </c>
      <c r="B2920">
        <v>-149.598253</v>
      </c>
      <c r="C2920">
        <v>-17.024092</v>
      </c>
      <c r="D2920">
        <v>151.082400025749</v>
      </c>
      <c r="E2920">
        <v>30</v>
      </c>
      <c r="F2920">
        <v>9.3036800019311894</v>
      </c>
    </row>
    <row r="2921" spans="1:6" x14ac:dyDescent="0.2">
      <c r="A2921">
        <v>736787.64269999997</v>
      </c>
      <c r="B2921">
        <v>-149.59823800000001</v>
      </c>
      <c r="C2921">
        <v>-17.024093000000001</v>
      </c>
      <c r="D2921">
        <v>151.082400025749</v>
      </c>
      <c r="E2921">
        <v>30</v>
      </c>
      <c r="F2921">
        <v>9.3036800019311894</v>
      </c>
    </row>
    <row r="2922" spans="1:6" x14ac:dyDescent="0.2">
      <c r="A2922">
        <v>736787.64269999997</v>
      </c>
      <c r="B2922">
        <v>-149.59822399999999</v>
      </c>
      <c r="C2922">
        <v>-17.024097999999999</v>
      </c>
      <c r="D2922">
        <v>151.082400025749</v>
      </c>
      <c r="E2922">
        <v>30</v>
      </c>
      <c r="F2922">
        <v>9.3036800019311894</v>
      </c>
    </row>
    <row r="2923" spans="1:6" x14ac:dyDescent="0.2">
      <c r="A2923">
        <v>736787.64280000003</v>
      </c>
      <c r="B2923">
        <v>-149.59821299999999</v>
      </c>
      <c r="C2923">
        <v>-17.024104999999999</v>
      </c>
      <c r="D2923">
        <v>150.30000000000001</v>
      </c>
      <c r="E2923">
        <v>29.9</v>
      </c>
      <c r="F2923">
        <v>9.26</v>
      </c>
    </row>
    <row r="2924" spans="1:6" x14ac:dyDescent="0.2">
      <c r="A2924">
        <v>736787.64280000003</v>
      </c>
      <c r="B2924">
        <v>-149.59820099999999</v>
      </c>
      <c r="C2924">
        <v>-17.02411</v>
      </c>
      <c r="D2924">
        <v>150.30000000000001</v>
      </c>
      <c r="E2924">
        <v>29.9</v>
      </c>
      <c r="F2924">
        <v>9.26</v>
      </c>
    </row>
    <row r="2925" spans="1:6" x14ac:dyDescent="0.2">
      <c r="A2925">
        <v>736787.64280000003</v>
      </c>
      <c r="B2925">
        <v>-149.59818300000001</v>
      </c>
      <c r="C2925">
        <v>-17.024114999999998</v>
      </c>
      <c r="D2925">
        <v>150.30000000000001</v>
      </c>
      <c r="E2925">
        <v>29.9</v>
      </c>
      <c r="F2925">
        <v>9.26</v>
      </c>
    </row>
    <row r="2926" spans="1:6" x14ac:dyDescent="0.2">
      <c r="A2926">
        <v>736787.64280000003</v>
      </c>
      <c r="B2926">
        <v>-149.59816900000001</v>
      </c>
      <c r="C2926">
        <v>-17.024115999999999</v>
      </c>
      <c r="D2926">
        <v>150.30000000000001</v>
      </c>
      <c r="E2926">
        <v>29.9</v>
      </c>
      <c r="F2926">
        <v>9.26</v>
      </c>
    </row>
    <row r="2927" spans="1:6" x14ac:dyDescent="0.2">
      <c r="A2927">
        <v>736787.64280000003</v>
      </c>
      <c r="B2927">
        <v>-149.59815499999999</v>
      </c>
      <c r="C2927">
        <v>-17.024117</v>
      </c>
      <c r="D2927">
        <v>150.30000000000001</v>
      </c>
      <c r="E2927">
        <v>29.9</v>
      </c>
      <c r="F2927">
        <v>9.26</v>
      </c>
    </row>
    <row r="2928" spans="1:6" x14ac:dyDescent="0.2">
      <c r="A2928">
        <v>736787.64280000003</v>
      </c>
      <c r="B2928">
        <v>-149.598142</v>
      </c>
      <c r="C2928">
        <v>-17.024118000000001</v>
      </c>
      <c r="D2928">
        <v>150.30000000000001</v>
      </c>
      <c r="E2928">
        <v>29.9</v>
      </c>
      <c r="F2928">
        <v>9.26</v>
      </c>
    </row>
    <row r="2929" spans="1:6" x14ac:dyDescent="0.2">
      <c r="A2929">
        <v>736787.64280000003</v>
      </c>
      <c r="B2929">
        <v>-149.598128</v>
      </c>
      <c r="C2929">
        <v>-17.02412</v>
      </c>
      <c r="D2929">
        <v>150.30000000000001</v>
      </c>
      <c r="E2929">
        <v>29.9</v>
      </c>
      <c r="F2929">
        <v>9.26</v>
      </c>
    </row>
    <row r="2930" spans="1:6" x14ac:dyDescent="0.2">
      <c r="A2930">
        <v>736787.64280000003</v>
      </c>
      <c r="B2930">
        <v>-149.598116</v>
      </c>
      <c r="C2930">
        <v>-17.024124</v>
      </c>
      <c r="D2930">
        <v>150.30000000000001</v>
      </c>
      <c r="E2930">
        <v>29.9</v>
      </c>
      <c r="F2930">
        <v>9.26</v>
      </c>
    </row>
    <row r="2931" spans="1:6" x14ac:dyDescent="0.2">
      <c r="A2931">
        <v>736787.64289999998</v>
      </c>
      <c r="B2931">
        <v>-149.59810300000001</v>
      </c>
      <c r="C2931">
        <v>-17.024125000000002</v>
      </c>
      <c r="D2931">
        <v>150.02640001448401</v>
      </c>
      <c r="E2931">
        <v>29.9</v>
      </c>
      <c r="F2931">
        <v>9.2417600009656002</v>
      </c>
    </row>
    <row r="2932" spans="1:6" x14ac:dyDescent="0.2">
      <c r="A2932">
        <v>736787.64289999998</v>
      </c>
      <c r="B2932">
        <v>-149.59809300000001</v>
      </c>
      <c r="C2932">
        <v>-17.024125999999999</v>
      </c>
      <c r="D2932">
        <v>150.02640001448401</v>
      </c>
      <c r="E2932">
        <v>29.9</v>
      </c>
      <c r="F2932">
        <v>9.2417600009656002</v>
      </c>
    </row>
    <row r="2933" spans="1:6" x14ac:dyDescent="0.2">
      <c r="A2933">
        <v>736787.64289999998</v>
      </c>
      <c r="B2933">
        <v>-149.59808100000001</v>
      </c>
      <c r="C2933">
        <v>-17.024131000000001</v>
      </c>
      <c r="D2933">
        <v>150.02640001448401</v>
      </c>
      <c r="E2933">
        <v>29.9</v>
      </c>
      <c r="F2933">
        <v>9.2417600009656002</v>
      </c>
    </row>
    <row r="2934" spans="1:6" x14ac:dyDescent="0.2">
      <c r="A2934">
        <v>736787.64289999998</v>
      </c>
      <c r="B2934">
        <v>-149.59806399999999</v>
      </c>
      <c r="C2934">
        <v>-17.024134</v>
      </c>
      <c r="D2934">
        <v>150.02640001448401</v>
      </c>
      <c r="E2934">
        <v>29.9</v>
      </c>
      <c r="F2934">
        <v>9.2417600009656002</v>
      </c>
    </row>
    <row r="2935" spans="1:6" x14ac:dyDescent="0.2">
      <c r="A2935">
        <v>736787.64289999998</v>
      </c>
      <c r="B2935">
        <v>-149.598049</v>
      </c>
      <c r="C2935">
        <v>-17.024134</v>
      </c>
      <c r="D2935">
        <v>150.02640001448401</v>
      </c>
      <c r="E2935">
        <v>29.9</v>
      </c>
      <c r="F2935">
        <v>9.2417600009656002</v>
      </c>
    </row>
    <row r="2936" spans="1:6" x14ac:dyDescent="0.2">
      <c r="A2936">
        <v>736787.64289999998</v>
      </c>
      <c r="B2936">
        <v>-149.59803400000001</v>
      </c>
      <c r="C2936">
        <v>-17.024139000000002</v>
      </c>
      <c r="D2936">
        <v>150.02640001448401</v>
      </c>
      <c r="E2936">
        <v>29.9</v>
      </c>
      <c r="F2936">
        <v>9.2417600009656002</v>
      </c>
    </row>
    <row r="2937" spans="1:6" x14ac:dyDescent="0.2">
      <c r="A2937">
        <v>736787.64289999998</v>
      </c>
      <c r="B2937">
        <v>-149.59801999999999</v>
      </c>
      <c r="C2937">
        <v>-17.024142999999999</v>
      </c>
      <c r="D2937">
        <v>150.02640001448401</v>
      </c>
      <c r="E2937">
        <v>29.9</v>
      </c>
      <c r="F2937">
        <v>9.2417600009656002</v>
      </c>
    </row>
    <row r="2938" spans="1:6" x14ac:dyDescent="0.2">
      <c r="A2938">
        <v>736787.64289999998</v>
      </c>
      <c r="B2938">
        <v>-149.598005</v>
      </c>
      <c r="C2938">
        <v>-17.024146000000002</v>
      </c>
      <c r="D2938">
        <v>150.02640001448401</v>
      </c>
      <c r="E2938">
        <v>29.9</v>
      </c>
      <c r="F2938">
        <v>9.2417600009656002</v>
      </c>
    </row>
    <row r="2939" spans="1:6" x14ac:dyDescent="0.2">
      <c r="A2939">
        <v>736787.64300000004</v>
      </c>
      <c r="B2939">
        <v>-149.597994</v>
      </c>
      <c r="C2939">
        <v>-17.024156999999999</v>
      </c>
      <c r="D2939">
        <v>150.19999999999999</v>
      </c>
      <c r="E2939">
        <v>29.9</v>
      </c>
      <c r="F2939">
        <v>9.2564000016093306</v>
      </c>
    </row>
    <row r="2940" spans="1:6" x14ac:dyDescent="0.2">
      <c r="A2940">
        <v>736787.64300000004</v>
      </c>
      <c r="B2940">
        <v>-149.59798599999999</v>
      </c>
      <c r="C2940">
        <v>-17.024163999999999</v>
      </c>
      <c r="D2940">
        <v>150.19999999999999</v>
      </c>
      <c r="E2940">
        <v>29.9</v>
      </c>
      <c r="F2940">
        <v>9.2564000016093306</v>
      </c>
    </row>
    <row r="2941" spans="1:6" x14ac:dyDescent="0.2">
      <c r="A2941">
        <v>736787.64300000004</v>
      </c>
      <c r="B2941">
        <v>-149.59797499999999</v>
      </c>
      <c r="C2941">
        <v>-17.024166999999998</v>
      </c>
      <c r="D2941">
        <v>150.19999999999999</v>
      </c>
      <c r="E2941">
        <v>29.9</v>
      </c>
      <c r="F2941">
        <v>9.2564000016093306</v>
      </c>
    </row>
    <row r="2942" spans="1:6" x14ac:dyDescent="0.2">
      <c r="A2942">
        <v>736787.64300000004</v>
      </c>
      <c r="B2942">
        <v>-149.597962</v>
      </c>
      <c r="C2942">
        <v>-17.024170999999999</v>
      </c>
      <c r="D2942">
        <v>150.19999999999999</v>
      </c>
      <c r="E2942">
        <v>29.9</v>
      </c>
      <c r="F2942">
        <v>9.2564000016093306</v>
      </c>
    </row>
    <row r="2943" spans="1:6" x14ac:dyDescent="0.2">
      <c r="A2943">
        <v>736787.64300000004</v>
      </c>
      <c r="B2943">
        <v>-149.597949</v>
      </c>
      <c r="C2943">
        <v>-17.024176000000001</v>
      </c>
      <c r="D2943">
        <v>150.19999999999999</v>
      </c>
      <c r="E2943">
        <v>29.9</v>
      </c>
      <c r="F2943">
        <v>9.2564000016093306</v>
      </c>
    </row>
    <row r="2944" spans="1:6" x14ac:dyDescent="0.2">
      <c r="A2944">
        <v>736787.64300000004</v>
      </c>
      <c r="B2944">
        <v>-149.597937</v>
      </c>
      <c r="C2944">
        <v>-17.024184000000002</v>
      </c>
      <c r="D2944">
        <v>150.19999999999999</v>
      </c>
      <c r="E2944">
        <v>29.9</v>
      </c>
      <c r="F2944">
        <v>9.2564000016093306</v>
      </c>
    </row>
    <row r="2945" spans="1:6" x14ac:dyDescent="0.2">
      <c r="A2945">
        <v>736787.64300000004</v>
      </c>
      <c r="B2945">
        <v>-149.597926</v>
      </c>
      <c r="C2945">
        <v>-17.024186</v>
      </c>
      <c r="D2945">
        <v>150.19999999999999</v>
      </c>
      <c r="E2945">
        <v>29.9</v>
      </c>
      <c r="F2945">
        <v>9.2564000016093306</v>
      </c>
    </row>
    <row r="2946" spans="1:6" x14ac:dyDescent="0.2">
      <c r="A2946">
        <v>736787.64300000004</v>
      </c>
      <c r="B2946">
        <v>-149.59791300000001</v>
      </c>
      <c r="C2946">
        <v>-17.024187000000001</v>
      </c>
      <c r="D2946">
        <v>150.19999999999999</v>
      </c>
      <c r="E2946">
        <v>29.9</v>
      </c>
      <c r="F2946">
        <v>9.2564000016093306</v>
      </c>
    </row>
    <row r="2947" spans="1:6" x14ac:dyDescent="0.2">
      <c r="A2947">
        <v>736787.64300000004</v>
      </c>
      <c r="B2947">
        <v>-149.59790000000001</v>
      </c>
      <c r="C2947">
        <v>-17.024191999999999</v>
      </c>
      <c r="D2947">
        <v>150.19999999999999</v>
      </c>
      <c r="E2947">
        <v>29.9</v>
      </c>
      <c r="F2947">
        <v>9.2564000016093306</v>
      </c>
    </row>
    <row r="2948" spans="1:6" x14ac:dyDescent="0.2">
      <c r="A2948">
        <v>736787.64309999999</v>
      </c>
      <c r="B2948">
        <v>-149.59788800000001</v>
      </c>
      <c r="C2948">
        <v>-17.024190000000001</v>
      </c>
      <c r="D2948">
        <v>150.43120017380701</v>
      </c>
      <c r="E2948">
        <v>29.9</v>
      </c>
      <c r="F2948">
        <v>9.2684000096559505</v>
      </c>
    </row>
    <row r="2949" spans="1:6" x14ac:dyDescent="0.2">
      <c r="A2949">
        <v>736787.64309999999</v>
      </c>
      <c r="B2949">
        <v>-149.59787800000001</v>
      </c>
      <c r="C2949">
        <v>-17.024187000000001</v>
      </c>
      <c r="D2949">
        <v>150.43120017380701</v>
      </c>
      <c r="E2949">
        <v>29.9</v>
      </c>
      <c r="F2949">
        <v>9.2684000096559505</v>
      </c>
    </row>
    <row r="2950" spans="1:6" x14ac:dyDescent="0.2">
      <c r="A2950">
        <v>736787.64309999999</v>
      </c>
      <c r="B2950">
        <v>-149.59786500000001</v>
      </c>
      <c r="C2950">
        <v>-17.024182</v>
      </c>
      <c r="D2950">
        <v>150.43120017380701</v>
      </c>
      <c r="E2950">
        <v>29.9</v>
      </c>
      <c r="F2950">
        <v>9.2684000096559505</v>
      </c>
    </row>
    <row r="2951" spans="1:6" x14ac:dyDescent="0.2">
      <c r="A2951">
        <v>736787.64309999999</v>
      </c>
      <c r="B2951">
        <v>-149.59785199999999</v>
      </c>
      <c r="C2951">
        <v>-17.024176000000001</v>
      </c>
      <c r="D2951">
        <v>150.43120017380701</v>
      </c>
      <c r="E2951">
        <v>29.9</v>
      </c>
      <c r="F2951">
        <v>9.2684000096559505</v>
      </c>
    </row>
    <row r="2952" spans="1:6" x14ac:dyDescent="0.2">
      <c r="A2952">
        <v>736787.64309999999</v>
      </c>
      <c r="B2952">
        <v>-149.59783899999999</v>
      </c>
      <c r="C2952">
        <v>-17.024173999999999</v>
      </c>
      <c r="D2952">
        <v>150.43120017380701</v>
      </c>
      <c r="E2952">
        <v>29.9</v>
      </c>
      <c r="F2952">
        <v>9.2684000096559505</v>
      </c>
    </row>
    <row r="2953" spans="1:6" x14ac:dyDescent="0.2">
      <c r="A2953">
        <v>736787.64309999999</v>
      </c>
      <c r="B2953">
        <v>-149.597827</v>
      </c>
      <c r="C2953">
        <v>-17.024172</v>
      </c>
      <c r="D2953">
        <v>150.43120017380701</v>
      </c>
      <c r="E2953">
        <v>29.9</v>
      </c>
      <c r="F2953">
        <v>9.2684000096559505</v>
      </c>
    </row>
    <row r="2954" spans="1:6" x14ac:dyDescent="0.2">
      <c r="A2954">
        <v>736787.64309999999</v>
      </c>
      <c r="B2954">
        <v>-149.59781599999999</v>
      </c>
      <c r="C2954">
        <v>-17.024172</v>
      </c>
      <c r="D2954">
        <v>150.43120017380701</v>
      </c>
      <c r="E2954">
        <v>29.9</v>
      </c>
      <c r="F2954">
        <v>9.2684000096559505</v>
      </c>
    </row>
    <row r="2955" spans="1:6" x14ac:dyDescent="0.2">
      <c r="A2955">
        <v>736787.64309999999</v>
      </c>
      <c r="B2955">
        <v>-149.597803</v>
      </c>
      <c r="C2955">
        <v>-17.024173000000001</v>
      </c>
      <c r="D2955">
        <v>150.43120017380701</v>
      </c>
      <c r="E2955">
        <v>29.9</v>
      </c>
      <c r="F2955">
        <v>9.2684000096559505</v>
      </c>
    </row>
    <row r="2956" spans="1:6" x14ac:dyDescent="0.2">
      <c r="A2956">
        <v>736787.64320000005</v>
      </c>
      <c r="B2956">
        <v>-149.59778499999999</v>
      </c>
      <c r="C2956">
        <v>-17.024177999999999</v>
      </c>
      <c r="D2956">
        <v>151.54800066384701</v>
      </c>
      <c r="E2956">
        <v>29.954800066384699</v>
      </c>
      <c r="F2956">
        <v>9.3328800398308207</v>
      </c>
    </row>
    <row r="2957" spans="1:6" x14ac:dyDescent="0.2">
      <c r="A2957">
        <v>736787.64320000005</v>
      </c>
      <c r="B2957">
        <v>-149.597769</v>
      </c>
      <c r="C2957">
        <v>-17.024184000000002</v>
      </c>
      <c r="D2957">
        <v>151.54800066384701</v>
      </c>
      <c r="E2957">
        <v>29.954800066384699</v>
      </c>
      <c r="F2957">
        <v>9.3328800398308207</v>
      </c>
    </row>
    <row r="2958" spans="1:6" x14ac:dyDescent="0.2">
      <c r="A2958">
        <v>736787.64320000005</v>
      </c>
      <c r="B2958">
        <v>-149.597759</v>
      </c>
      <c r="C2958">
        <v>-17.024184999999999</v>
      </c>
      <c r="D2958">
        <v>151.54800066384701</v>
      </c>
      <c r="E2958">
        <v>29.954800066384699</v>
      </c>
      <c r="F2958">
        <v>9.3328800398308207</v>
      </c>
    </row>
    <row r="2959" spans="1:6" x14ac:dyDescent="0.2">
      <c r="A2959">
        <v>736787.64320000005</v>
      </c>
      <c r="B2959">
        <v>-149.59774899999999</v>
      </c>
      <c r="C2959">
        <v>-17.024190999999998</v>
      </c>
      <c r="D2959">
        <v>151.54800066384701</v>
      </c>
      <c r="E2959">
        <v>29.954800066384699</v>
      </c>
      <c r="F2959">
        <v>9.3328800398308207</v>
      </c>
    </row>
    <row r="2960" spans="1:6" x14ac:dyDescent="0.2">
      <c r="A2960">
        <v>736787.64320000005</v>
      </c>
      <c r="B2960">
        <v>-149.59773300000001</v>
      </c>
      <c r="C2960">
        <v>-17.024197000000001</v>
      </c>
      <c r="D2960">
        <v>151.54800066384701</v>
      </c>
      <c r="E2960">
        <v>29.954800066384699</v>
      </c>
      <c r="F2960">
        <v>9.3328800398308207</v>
      </c>
    </row>
    <row r="2961" spans="1:6" x14ac:dyDescent="0.2">
      <c r="A2961">
        <v>736787.64320000005</v>
      </c>
      <c r="B2961">
        <v>-149.597723</v>
      </c>
      <c r="C2961">
        <v>-17.024198999999999</v>
      </c>
      <c r="D2961">
        <v>151.54800066384701</v>
      </c>
      <c r="E2961">
        <v>29.954800066384699</v>
      </c>
      <c r="F2961">
        <v>9.3328800398308207</v>
      </c>
    </row>
    <row r="2962" spans="1:6" x14ac:dyDescent="0.2">
      <c r="A2962">
        <v>736787.64320000005</v>
      </c>
      <c r="B2962">
        <v>-149.597712</v>
      </c>
      <c r="C2962">
        <v>-17.024204000000001</v>
      </c>
      <c r="D2962">
        <v>151.54800066384701</v>
      </c>
      <c r="E2962">
        <v>29.954800066384699</v>
      </c>
      <c r="F2962">
        <v>9.3328800398308207</v>
      </c>
    </row>
    <row r="2963" spans="1:6" x14ac:dyDescent="0.2">
      <c r="A2963">
        <v>736787.64320000005</v>
      </c>
      <c r="B2963">
        <v>-149.59769800000001</v>
      </c>
      <c r="C2963">
        <v>-17.024208999999999</v>
      </c>
      <c r="D2963">
        <v>151.54800066384701</v>
      </c>
      <c r="E2963">
        <v>29.954800066384699</v>
      </c>
      <c r="F2963">
        <v>9.3328800398308207</v>
      </c>
    </row>
    <row r="2964" spans="1:6" x14ac:dyDescent="0.2">
      <c r="A2964">
        <v>736787.6433</v>
      </c>
      <c r="B2964">
        <v>-149.59768800000001</v>
      </c>
      <c r="C2964">
        <v>-17.024208999999999</v>
      </c>
      <c r="D2964">
        <v>153.48320046348499</v>
      </c>
      <c r="E2964">
        <v>30.082400025749202</v>
      </c>
      <c r="F2964">
        <v>9.4424000257491905</v>
      </c>
    </row>
    <row r="2965" spans="1:6" x14ac:dyDescent="0.2">
      <c r="A2965">
        <v>736787.6433</v>
      </c>
      <c r="B2965">
        <v>-149.597666</v>
      </c>
      <c r="C2965">
        <v>-17.024208999999999</v>
      </c>
      <c r="D2965">
        <v>153.48320046348499</v>
      </c>
      <c r="E2965">
        <v>30.082400025749202</v>
      </c>
      <c r="F2965">
        <v>9.4424000257491905</v>
      </c>
    </row>
    <row r="2966" spans="1:6" x14ac:dyDescent="0.2">
      <c r="A2966">
        <v>736787.6433</v>
      </c>
      <c r="B2966">
        <v>-149.59764799999999</v>
      </c>
      <c r="C2966">
        <v>-17.024201000000001</v>
      </c>
      <c r="D2966">
        <v>153.48320046348499</v>
      </c>
      <c r="E2966">
        <v>30.082400025749202</v>
      </c>
      <c r="F2966">
        <v>9.4424000257491905</v>
      </c>
    </row>
    <row r="2967" spans="1:6" x14ac:dyDescent="0.2">
      <c r="A2967">
        <v>736787.6433</v>
      </c>
      <c r="B2967">
        <v>-149.597632</v>
      </c>
      <c r="C2967">
        <v>-17.024194999999999</v>
      </c>
      <c r="D2967">
        <v>153.48320046348499</v>
      </c>
      <c r="E2967">
        <v>30.082400025749202</v>
      </c>
      <c r="F2967">
        <v>9.4424000257491905</v>
      </c>
    </row>
    <row r="2968" spans="1:6" x14ac:dyDescent="0.2">
      <c r="A2968">
        <v>736787.6433</v>
      </c>
      <c r="B2968">
        <v>-149.59761700000001</v>
      </c>
      <c r="C2968">
        <v>-17.024191999999999</v>
      </c>
      <c r="D2968">
        <v>153.48320046348499</v>
      </c>
      <c r="E2968">
        <v>30.082400025749202</v>
      </c>
      <c r="F2968">
        <v>9.4424000257491905</v>
      </c>
    </row>
    <row r="2969" spans="1:6" x14ac:dyDescent="0.2">
      <c r="A2969">
        <v>736787.6433</v>
      </c>
      <c r="B2969">
        <v>-149.59760399999999</v>
      </c>
      <c r="C2969">
        <v>-17.024191999999999</v>
      </c>
      <c r="D2969">
        <v>153.48320046348499</v>
      </c>
      <c r="E2969">
        <v>30.082400025749202</v>
      </c>
      <c r="F2969">
        <v>9.4424000257491905</v>
      </c>
    </row>
    <row r="2970" spans="1:6" x14ac:dyDescent="0.2">
      <c r="A2970">
        <v>736787.6433</v>
      </c>
      <c r="B2970">
        <v>-149.597589</v>
      </c>
      <c r="C2970">
        <v>-17.024187999999999</v>
      </c>
      <c r="D2970">
        <v>153.48320046348499</v>
      </c>
      <c r="E2970">
        <v>30.082400025749202</v>
      </c>
      <c r="F2970">
        <v>9.4424000257491905</v>
      </c>
    </row>
    <row r="2971" spans="1:6" x14ac:dyDescent="0.2">
      <c r="A2971">
        <v>736787.64339999994</v>
      </c>
      <c r="B2971">
        <v>-149.597577</v>
      </c>
      <c r="C2971">
        <v>-17.024186</v>
      </c>
      <c r="D2971">
        <v>155.19999999999999</v>
      </c>
      <c r="E2971">
        <v>30.1</v>
      </c>
      <c r="F2971">
        <v>9.5344800061154409</v>
      </c>
    </row>
    <row r="2972" spans="1:6" x14ac:dyDescent="0.2">
      <c r="A2972">
        <v>736787.64339999994</v>
      </c>
      <c r="B2972">
        <v>-149.59756400000001</v>
      </c>
      <c r="C2972">
        <v>-17.024184999999999</v>
      </c>
      <c r="D2972">
        <v>155.19999999999999</v>
      </c>
      <c r="E2972">
        <v>30.1</v>
      </c>
      <c r="F2972">
        <v>9.5344800061154409</v>
      </c>
    </row>
    <row r="2973" spans="1:6" x14ac:dyDescent="0.2">
      <c r="A2973">
        <v>736787.64339999994</v>
      </c>
      <c r="B2973">
        <v>-149.59755000000001</v>
      </c>
      <c r="C2973">
        <v>-17.024183000000001</v>
      </c>
      <c r="D2973">
        <v>155.19999999999999</v>
      </c>
      <c r="E2973">
        <v>30.1</v>
      </c>
      <c r="F2973">
        <v>9.5344800061154409</v>
      </c>
    </row>
    <row r="2974" spans="1:6" x14ac:dyDescent="0.2">
      <c r="A2974">
        <v>736787.64339999994</v>
      </c>
      <c r="B2974">
        <v>-149.59753599999999</v>
      </c>
      <c r="C2974">
        <v>-17.024183000000001</v>
      </c>
      <c r="D2974">
        <v>155.19999999999999</v>
      </c>
      <c r="E2974">
        <v>30.1</v>
      </c>
      <c r="F2974">
        <v>9.5344800061154409</v>
      </c>
    </row>
    <row r="2975" spans="1:6" x14ac:dyDescent="0.2">
      <c r="A2975">
        <v>736787.64339999994</v>
      </c>
      <c r="B2975">
        <v>-149.59752399999999</v>
      </c>
      <c r="C2975">
        <v>-17.024184000000002</v>
      </c>
      <c r="D2975">
        <v>155.19999999999999</v>
      </c>
      <c r="E2975">
        <v>30.1</v>
      </c>
      <c r="F2975">
        <v>9.5344800061154409</v>
      </c>
    </row>
    <row r="2976" spans="1:6" x14ac:dyDescent="0.2">
      <c r="A2976">
        <v>736787.64339999994</v>
      </c>
      <c r="B2976">
        <v>-149.597509</v>
      </c>
      <c r="C2976">
        <v>-17.024186</v>
      </c>
      <c r="D2976">
        <v>155.19999999999999</v>
      </c>
      <c r="E2976">
        <v>30.1</v>
      </c>
      <c r="F2976">
        <v>9.5344800061154409</v>
      </c>
    </row>
    <row r="2977" spans="1:6" x14ac:dyDescent="0.2">
      <c r="A2977">
        <v>736787.64339999994</v>
      </c>
      <c r="B2977">
        <v>-149.59749600000001</v>
      </c>
      <c r="C2977">
        <v>-17.024190999999998</v>
      </c>
      <c r="D2977">
        <v>155.19999999999999</v>
      </c>
      <c r="E2977">
        <v>30.1</v>
      </c>
      <c r="F2977">
        <v>9.5344800061154409</v>
      </c>
    </row>
    <row r="2978" spans="1:6" x14ac:dyDescent="0.2">
      <c r="A2978">
        <v>736787.64339999994</v>
      </c>
      <c r="B2978">
        <v>-149.597486</v>
      </c>
      <c r="C2978">
        <v>-17.024193</v>
      </c>
      <c r="D2978">
        <v>155.19999999999999</v>
      </c>
      <c r="E2978">
        <v>30.1</v>
      </c>
      <c r="F2978">
        <v>9.5344800061154409</v>
      </c>
    </row>
    <row r="2979" spans="1:6" x14ac:dyDescent="0.2">
      <c r="A2979">
        <v>736787.64339999994</v>
      </c>
      <c r="B2979">
        <v>-149.597475</v>
      </c>
      <c r="C2979">
        <v>-17.024194000000001</v>
      </c>
      <c r="D2979">
        <v>155.19999999999999</v>
      </c>
      <c r="E2979">
        <v>30.1</v>
      </c>
      <c r="F2979">
        <v>9.5344800061154409</v>
      </c>
    </row>
    <row r="2980" spans="1:6" x14ac:dyDescent="0.2">
      <c r="A2980">
        <v>736787.64350000001</v>
      </c>
      <c r="B2980">
        <v>-149.59746100000001</v>
      </c>
      <c r="C2980">
        <v>-17.024198999999999</v>
      </c>
      <c r="D2980">
        <v>156.424000257492</v>
      </c>
      <c r="E2980">
        <v>30.1</v>
      </c>
      <c r="F2980">
        <v>9.6112000128745905</v>
      </c>
    </row>
    <row r="2981" spans="1:6" x14ac:dyDescent="0.2">
      <c r="A2981">
        <v>736787.64350000001</v>
      </c>
      <c r="B2981">
        <v>-149.59745100000001</v>
      </c>
      <c r="C2981">
        <v>-17.024201999999999</v>
      </c>
      <c r="D2981">
        <v>156.424000257492</v>
      </c>
      <c r="E2981">
        <v>30.1</v>
      </c>
      <c r="F2981">
        <v>9.6112000128745905</v>
      </c>
    </row>
    <row r="2982" spans="1:6" x14ac:dyDescent="0.2">
      <c r="A2982">
        <v>736787.64350000001</v>
      </c>
      <c r="B2982">
        <v>-149.597442</v>
      </c>
      <c r="C2982">
        <v>-17.024208000000002</v>
      </c>
      <c r="D2982">
        <v>156.424000257492</v>
      </c>
      <c r="E2982">
        <v>30.1</v>
      </c>
      <c r="F2982">
        <v>9.6112000128745905</v>
      </c>
    </row>
    <row r="2983" spans="1:6" x14ac:dyDescent="0.2">
      <c r="A2983">
        <v>736787.64350000001</v>
      </c>
      <c r="B2983">
        <v>-149.59743</v>
      </c>
      <c r="C2983">
        <v>-17.024211000000001</v>
      </c>
      <c r="D2983">
        <v>156.424000257492</v>
      </c>
      <c r="E2983">
        <v>30.1</v>
      </c>
      <c r="F2983">
        <v>9.6112000128745905</v>
      </c>
    </row>
    <row r="2984" spans="1:6" x14ac:dyDescent="0.2">
      <c r="A2984">
        <v>736787.64350000001</v>
      </c>
      <c r="B2984">
        <v>-149.59741700000001</v>
      </c>
      <c r="C2984">
        <v>-17.024214000000001</v>
      </c>
      <c r="D2984">
        <v>156.424000257492</v>
      </c>
      <c r="E2984">
        <v>30.1</v>
      </c>
      <c r="F2984">
        <v>9.6112000128745905</v>
      </c>
    </row>
    <row r="2985" spans="1:6" x14ac:dyDescent="0.2">
      <c r="A2985">
        <v>736787.64350000001</v>
      </c>
      <c r="B2985">
        <v>-149.59740500000001</v>
      </c>
      <c r="C2985">
        <v>-17.024214000000001</v>
      </c>
      <c r="D2985">
        <v>156.424000257492</v>
      </c>
      <c r="E2985">
        <v>30.1</v>
      </c>
      <c r="F2985">
        <v>9.6112000128745905</v>
      </c>
    </row>
    <row r="2986" spans="1:6" x14ac:dyDescent="0.2">
      <c r="A2986">
        <v>736787.64350000001</v>
      </c>
      <c r="B2986">
        <v>-149.59738300000001</v>
      </c>
      <c r="C2986">
        <v>-17.024215999999999</v>
      </c>
      <c r="D2986">
        <v>156.424000257492</v>
      </c>
      <c r="E2986">
        <v>30.1</v>
      </c>
      <c r="F2986">
        <v>9.6112000128745905</v>
      </c>
    </row>
    <row r="2987" spans="1:6" x14ac:dyDescent="0.2">
      <c r="A2987">
        <v>736787.64359999995</v>
      </c>
      <c r="B2987">
        <v>-149.59737100000001</v>
      </c>
      <c r="C2987">
        <v>-17.024218999999999</v>
      </c>
      <c r="D2987">
        <v>157.00239950754599</v>
      </c>
      <c r="E2987">
        <v>30.1</v>
      </c>
      <c r="F2987">
        <v>9.6401599671697191</v>
      </c>
    </row>
    <row r="2988" spans="1:6" x14ac:dyDescent="0.2">
      <c r="A2988">
        <v>736787.64359999995</v>
      </c>
      <c r="B2988">
        <v>-149.59735800000001</v>
      </c>
      <c r="C2988">
        <v>-17.02422</v>
      </c>
      <c r="D2988">
        <v>157.00239950754599</v>
      </c>
      <c r="E2988">
        <v>30.1</v>
      </c>
      <c r="F2988">
        <v>9.6401599671697191</v>
      </c>
    </row>
    <row r="2989" spans="1:6" x14ac:dyDescent="0.2">
      <c r="A2989">
        <v>736787.64359999995</v>
      </c>
      <c r="B2989">
        <v>-149.59734499999999</v>
      </c>
      <c r="C2989">
        <v>-17.024218000000001</v>
      </c>
      <c r="D2989">
        <v>157.00239950754599</v>
      </c>
      <c r="E2989">
        <v>30.1</v>
      </c>
      <c r="F2989">
        <v>9.6401599671697191</v>
      </c>
    </row>
    <row r="2990" spans="1:6" x14ac:dyDescent="0.2">
      <c r="A2990">
        <v>736787.64359999995</v>
      </c>
      <c r="B2990">
        <v>-149.597329</v>
      </c>
      <c r="C2990">
        <v>-17.024215999999999</v>
      </c>
      <c r="D2990">
        <v>157.00239950754599</v>
      </c>
      <c r="E2990">
        <v>30.1</v>
      </c>
      <c r="F2990">
        <v>9.6401599671697191</v>
      </c>
    </row>
    <row r="2991" spans="1:6" x14ac:dyDescent="0.2">
      <c r="A2991">
        <v>736787.64359999995</v>
      </c>
      <c r="B2991">
        <v>-149.59731600000001</v>
      </c>
      <c r="C2991">
        <v>-17.024213</v>
      </c>
      <c r="D2991">
        <v>157.00239950754599</v>
      </c>
      <c r="E2991">
        <v>30.1</v>
      </c>
      <c r="F2991">
        <v>9.6401599671697191</v>
      </c>
    </row>
    <row r="2992" spans="1:6" x14ac:dyDescent="0.2">
      <c r="A2992">
        <v>736787.64359999995</v>
      </c>
      <c r="B2992">
        <v>-149.597306</v>
      </c>
      <c r="C2992">
        <v>-17.024213</v>
      </c>
      <c r="D2992">
        <v>157.00239950754599</v>
      </c>
      <c r="E2992">
        <v>30.1</v>
      </c>
      <c r="F2992">
        <v>9.6401599671697191</v>
      </c>
    </row>
    <row r="2993" spans="1:6" x14ac:dyDescent="0.2">
      <c r="A2993">
        <v>736787.64359999995</v>
      </c>
      <c r="B2993">
        <v>-149.59728799999999</v>
      </c>
      <c r="C2993">
        <v>-17.024214000000001</v>
      </c>
      <c r="D2993">
        <v>157.00239950754599</v>
      </c>
      <c r="E2993">
        <v>30.1</v>
      </c>
      <c r="F2993">
        <v>9.6401599671697191</v>
      </c>
    </row>
    <row r="2994" spans="1:6" x14ac:dyDescent="0.2">
      <c r="A2994">
        <v>736787.64370000002</v>
      </c>
      <c r="B2994">
        <v>-149.59727000000001</v>
      </c>
      <c r="C2994">
        <v>-17.024218999999999</v>
      </c>
      <c r="D2994">
        <v>157.37360003862401</v>
      </c>
      <c r="E2994">
        <v>30.1</v>
      </c>
      <c r="F2994">
        <v>9.6673600038623793</v>
      </c>
    </row>
    <row r="2995" spans="1:6" x14ac:dyDescent="0.2">
      <c r="A2995">
        <v>736787.64370000002</v>
      </c>
      <c r="B2995">
        <v>-149.597261</v>
      </c>
      <c r="C2995">
        <v>-17.024224</v>
      </c>
      <c r="D2995">
        <v>157.37360003862401</v>
      </c>
      <c r="E2995">
        <v>30.1</v>
      </c>
      <c r="F2995">
        <v>9.6673600038623793</v>
      </c>
    </row>
    <row r="2996" spans="1:6" x14ac:dyDescent="0.2">
      <c r="A2996">
        <v>736787.64370000002</v>
      </c>
      <c r="B2996">
        <v>-149.597252</v>
      </c>
      <c r="C2996">
        <v>-17.024227</v>
      </c>
      <c r="D2996">
        <v>157.37360003862401</v>
      </c>
      <c r="E2996">
        <v>30.1</v>
      </c>
      <c r="F2996">
        <v>9.6673600038623793</v>
      </c>
    </row>
    <row r="2997" spans="1:6" x14ac:dyDescent="0.2">
      <c r="A2997">
        <v>736787.64370000002</v>
      </c>
      <c r="B2997">
        <v>-149.597241</v>
      </c>
      <c r="C2997">
        <v>-17.024225000000001</v>
      </c>
      <c r="D2997">
        <v>157.37360003862401</v>
      </c>
      <c r="E2997">
        <v>30.1</v>
      </c>
      <c r="F2997">
        <v>9.6673600038623793</v>
      </c>
    </row>
    <row r="2998" spans="1:6" x14ac:dyDescent="0.2">
      <c r="A2998">
        <v>736787.64370000002</v>
      </c>
      <c r="B2998">
        <v>-149.597229</v>
      </c>
      <c r="C2998">
        <v>-17.024228000000001</v>
      </c>
      <c r="D2998">
        <v>157.37360003862401</v>
      </c>
      <c r="E2998">
        <v>30.1</v>
      </c>
      <c r="F2998">
        <v>9.6673600038623793</v>
      </c>
    </row>
    <row r="2999" spans="1:6" x14ac:dyDescent="0.2">
      <c r="A2999">
        <v>736787.64370000002</v>
      </c>
      <c r="B2999">
        <v>-149.59721500000001</v>
      </c>
      <c r="C2999">
        <v>-17.024228000000001</v>
      </c>
      <c r="D2999">
        <v>157.37360003862401</v>
      </c>
      <c r="E2999">
        <v>30.1</v>
      </c>
      <c r="F2999">
        <v>9.6673600038623793</v>
      </c>
    </row>
    <row r="3000" spans="1:6" x14ac:dyDescent="0.2">
      <c r="A3000">
        <v>736787.64370000002</v>
      </c>
      <c r="B3000">
        <v>-149.59720200000001</v>
      </c>
      <c r="C3000">
        <v>-17.024227</v>
      </c>
      <c r="D3000">
        <v>157.37360003862401</v>
      </c>
      <c r="E3000">
        <v>30.1</v>
      </c>
      <c r="F3000">
        <v>9.6673600038623793</v>
      </c>
    </row>
    <row r="3001" spans="1:6" x14ac:dyDescent="0.2">
      <c r="A3001">
        <v>736787.64379999996</v>
      </c>
      <c r="B3001">
        <v>-149.59718599999999</v>
      </c>
      <c r="C3001">
        <v>-17.024228999999998</v>
      </c>
      <c r="D3001">
        <v>157.26080019794699</v>
      </c>
      <c r="E3001">
        <v>30.1</v>
      </c>
      <c r="F3001">
        <v>9.6607200131964905</v>
      </c>
    </row>
    <row r="3002" spans="1:6" x14ac:dyDescent="0.2">
      <c r="A3002">
        <v>736787.64379999996</v>
      </c>
      <c r="B3002">
        <v>-149.59717499999999</v>
      </c>
      <c r="C3002">
        <v>-17.024229999999999</v>
      </c>
      <c r="D3002">
        <v>157.26080019794699</v>
      </c>
      <c r="E3002">
        <v>30.1</v>
      </c>
      <c r="F3002">
        <v>9.6607200131964905</v>
      </c>
    </row>
    <row r="3003" spans="1:6" x14ac:dyDescent="0.2">
      <c r="A3003">
        <v>736787.64379999996</v>
      </c>
      <c r="B3003">
        <v>-149.597162</v>
      </c>
      <c r="C3003">
        <v>-17.024228000000001</v>
      </c>
      <c r="D3003">
        <v>157.26080019794699</v>
      </c>
      <c r="E3003">
        <v>30.1</v>
      </c>
      <c r="F3003">
        <v>9.6607200131964905</v>
      </c>
    </row>
    <row r="3004" spans="1:6" x14ac:dyDescent="0.2">
      <c r="A3004">
        <v>736787.64379999996</v>
      </c>
      <c r="B3004">
        <v>-149.597148</v>
      </c>
      <c r="C3004">
        <v>-17.024229999999999</v>
      </c>
      <c r="D3004">
        <v>157.26080019794699</v>
      </c>
      <c r="E3004">
        <v>30.1</v>
      </c>
      <c r="F3004">
        <v>9.6607200131964905</v>
      </c>
    </row>
    <row r="3005" spans="1:6" x14ac:dyDescent="0.2">
      <c r="A3005">
        <v>736787.64379999996</v>
      </c>
      <c r="B3005">
        <v>-149.597128</v>
      </c>
      <c r="C3005">
        <v>-17.024236999999999</v>
      </c>
      <c r="D3005">
        <v>157.26080019794699</v>
      </c>
      <c r="E3005">
        <v>30.1</v>
      </c>
      <c r="F3005">
        <v>9.6607200131964905</v>
      </c>
    </row>
    <row r="3006" spans="1:6" x14ac:dyDescent="0.2">
      <c r="A3006">
        <v>736787.64379999996</v>
      </c>
      <c r="B3006">
        <v>-149.597115</v>
      </c>
      <c r="C3006">
        <v>-17.024236999999999</v>
      </c>
      <c r="D3006">
        <v>157.26080019794699</v>
      </c>
      <c r="E3006">
        <v>30.1</v>
      </c>
      <c r="F3006">
        <v>9.6607200131964905</v>
      </c>
    </row>
    <row r="3007" spans="1:6" x14ac:dyDescent="0.2">
      <c r="A3007">
        <v>736787.64379999996</v>
      </c>
      <c r="B3007">
        <v>-149.59710100000001</v>
      </c>
      <c r="C3007">
        <v>-17.024232999999999</v>
      </c>
      <c r="D3007">
        <v>157.26080019794699</v>
      </c>
      <c r="E3007">
        <v>30.1</v>
      </c>
      <c r="F3007">
        <v>9.6607200131964905</v>
      </c>
    </row>
    <row r="3008" spans="1:6" x14ac:dyDescent="0.2">
      <c r="A3008">
        <v>736787.64379999996</v>
      </c>
      <c r="B3008">
        <v>-149.59708699999999</v>
      </c>
      <c r="C3008">
        <v>-17.024232999999999</v>
      </c>
      <c r="D3008">
        <v>157.26080019794699</v>
      </c>
      <c r="E3008">
        <v>30.1</v>
      </c>
      <c r="F3008">
        <v>9.6607200131964905</v>
      </c>
    </row>
    <row r="3009" spans="1:6" x14ac:dyDescent="0.2">
      <c r="A3009">
        <v>736787.64390000002</v>
      </c>
      <c r="B3009">
        <v>-149.597069</v>
      </c>
      <c r="C3009">
        <v>-17.024234</v>
      </c>
      <c r="D3009">
        <v>156.80000000000001</v>
      </c>
      <c r="E3009">
        <v>30.1</v>
      </c>
      <c r="F3009">
        <v>9.6300000000000008</v>
      </c>
    </row>
    <row r="3010" spans="1:6" x14ac:dyDescent="0.2">
      <c r="A3010">
        <v>736787.64390000002</v>
      </c>
      <c r="B3010">
        <v>-149.59705700000001</v>
      </c>
      <c r="C3010">
        <v>-17.024235000000001</v>
      </c>
      <c r="D3010">
        <v>156.80000000000001</v>
      </c>
      <c r="E3010">
        <v>30.1</v>
      </c>
      <c r="F3010">
        <v>9.6300000000000008</v>
      </c>
    </row>
    <row r="3011" spans="1:6" x14ac:dyDescent="0.2">
      <c r="A3011">
        <v>736787.64390000002</v>
      </c>
      <c r="B3011">
        <v>-149.59703999999999</v>
      </c>
      <c r="C3011">
        <v>-17.024235000000001</v>
      </c>
      <c r="D3011">
        <v>156.80000000000001</v>
      </c>
      <c r="E3011">
        <v>30.1</v>
      </c>
      <c r="F3011">
        <v>9.6300000000000008</v>
      </c>
    </row>
    <row r="3012" spans="1:6" x14ac:dyDescent="0.2">
      <c r="A3012">
        <v>736787.64390000002</v>
      </c>
      <c r="B3012">
        <v>-149.59702300000001</v>
      </c>
      <c r="C3012">
        <v>-17.024241</v>
      </c>
      <c r="D3012">
        <v>156.80000000000001</v>
      </c>
      <c r="E3012">
        <v>30.1</v>
      </c>
      <c r="F3012">
        <v>9.6300000000000008</v>
      </c>
    </row>
    <row r="3013" spans="1:6" x14ac:dyDescent="0.2">
      <c r="A3013">
        <v>736787.64390000002</v>
      </c>
      <c r="B3013">
        <v>-149.597015</v>
      </c>
      <c r="C3013">
        <v>-17.024248</v>
      </c>
      <c r="D3013">
        <v>156.80000000000001</v>
      </c>
      <c r="E3013">
        <v>30.1</v>
      </c>
      <c r="F3013">
        <v>9.6300000000000008</v>
      </c>
    </row>
    <row r="3014" spans="1:6" x14ac:dyDescent="0.2">
      <c r="A3014">
        <v>736787.64390000002</v>
      </c>
      <c r="B3014">
        <v>-149.597005</v>
      </c>
      <c r="C3014">
        <v>-17.024251</v>
      </c>
      <c r="D3014">
        <v>156.80000000000001</v>
      </c>
      <c r="E3014">
        <v>30.1</v>
      </c>
      <c r="F3014">
        <v>9.6300000000000008</v>
      </c>
    </row>
    <row r="3015" spans="1:6" x14ac:dyDescent="0.2">
      <c r="A3015">
        <v>736787.64399999997</v>
      </c>
      <c r="B3015">
        <v>-149.59698900000001</v>
      </c>
      <c r="C3015">
        <v>-17.024263000000001</v>
      </c>
      <c r="D3015">
        <v>156.52399990344</v>
      </c>
      <c r="E3015">
        <v>30.1</v>
      </c>
      <c r="F3015">
        <v>9.6115999935626899</v>
      </c>
    </row>
    <row r="3016" spans="1:6" x14ac:dyDescent="0.2">
      <c r="A3016">
        <v>736787.64399999997</v>
      </c>
      <c r="B3016">
        <v>-149.59697700000001</v>
      </c>
      <c r="C3016">
        <v>-17.024269</v>
      </c>
      <c r="D3016">
        <v>156.52399990344</v>
      </c>
      <c r="E3016">
        <v>30.1</v>
      </c>
      <c r="F3016">
        <v>9.6115999935626899</v>
      </c>
    </row>
    <row r="3017" spans="1:6" x14ac:dyDescent="0.2">
      <c r="A3017">
        <v>736787.64399999997</v>
      </c>
      <c r="B3017">
        <v>-149.59696500000001</v>
      </c>
      <c r="C3017">
        <v>-17.024273999999998</v>
      </c>
      <c r="D3017">
        <v>156.52399990344</v>
      </c>
      <c r="E3017">
        <v>30.1</v>
      </c>
      <c r="F3017">
        <v>9.6115999935626899</v>
      </c>
    </row>
    <row r="3018" spans="1:6" x14ac:dyDescent="0.2">
      <c r="A3018">
        <v>736787.64399999997</v>
      </c>
      <c r="B3018">
        <v>-149.59695400000001</v>
      </c>
      <c r="C3018">
        <v>-17.024280999999998</v>
      </c>
      <c r="D3018">
        <v>156.52399990344</v>
      </c>
      <c r="E3018">
        <v>30.1</v>
      </c>
      <c r="F3018">
        <v>9.6115999935626899</v>
      </c>
    </row>
    <row r="3019" spans="1:6" x14ac:dyDescent="0.2">
      <c r="A3019">
        <v>736787.64399999997</v>
      </c>
      <c r="B3019">
        <v>-149.59694099999999</v>
      </c>
      <c r="C3019">
        <v>-17.024284000000002</v>
      </c>
      <c r="D3019">
        <v>156.52399990344</v>
      </c>
      <c r="E3019">
        <v>30.1</v>
      </c>
      <c r="F3019">
        <v>9.6115999935626899</v>
      </c>
    </row>
    <row r="3020" spans="1:6" x14ac:dyDescent="0.2">
      <c r="A3020">
        <v>736787.64399999997</v>
      </c>
      <c r="B3020">
        <v>-149.59692699999999</v>
      </c>
      <c r="C3020">
        <v>-17.024283</v>
      </c>
      <c r="D3020">
        <v>156.52399990344</v>
      </c>
      <c r="E3020">
        <v>30.1</v>
      </c>
      <c r="F3020">
        <v>9.6115999935626899</v>
      </c>
    </row>
    <row r="3021" spans="1:6" x14ac:dyDescent="0.2">
      <c r="A3021">
        <v>736787.64399999997</v>
      </c>
      <c r="B3021">
        <v>-149.596914</v>
      </c>
      <c r="C3021">
        <v>-17.024286</v>
      </c>
      <c r="D3021">
        <v>156.52399990344</v>
      </c>
      <c r="E3021">
        <v>30.1</v>
      </c>
      <c r="F3021">
        <v>9.6115999935626899</v>
      </c>
    </row>
    <row r="3022" spans="1:6" x14ac:dyDescent="0.2">
      <c r="A3022">
        <v>736787.64410000003</v>
      </c>
      <c r="B3022">
        <v>-149.596903</v>
      </c>
      <c r="C3022">
        <v>-17.024287999999999</v>
      </c>
      <c r="D3022">
        <v>155.04079979400601</v>
      </c>
      <c r="E3022">
        <v>30.1</v>
      </c>
      <c r="F3022">
        <v>9.5270399897003202</v>
      </c>
    </row>
    <row r="3023" spans="1:6" x14ac:dyDescent="0.2">
      <c r="A3023">
        <v>736787.64410000003</v>
      </c>
      <c r="B3023">
        <v>-149.596891</v>
      </c>
      <c r="C3023">
        <v>-17.024289</v>
      </c>
      <c r="D3023">
        <v>155.04079979400601</v>
      </c>
      <c r="E3023">
        <v>30.1</v>
      </c>
      <c r="F3023">
        <v>9.5270399897003202</v>
      </c>
    </row>
    <row r="3024" spans="1:6" x14ac:dyDescent="0.2">
      <c r="A3024">
        <v>736787.64410000003</v>
      </c>
      <c r="B3024">
        <v>-149.596879</v>
      </c>
      <c r="C3024">
        <v>-17.024289</v>
      </c>
      <c r="D3024">
        <v>155.04079979400601</v>
      </c>
      <c r="E3024">
        <v>30.1</v>
      </c>
      <c r="F3024">
        <v>9.5270399897003202</v>
      </c>
    </row>
    <row r="3025" spans="1:6" x14ac:dyDescent="0.2">
      <c r="A3025">
        <v>736787.64410000003</v>
      </c>
      <c r="B3025">
        <v>-149.596869</v>
      </c>
      <c r="C3025">
        <v>-17.024287999999999</v>
      </c>
      <c r="D3025">
        <v>155.04079979400601</v>
      </c>
      <c r="E3025">
        <v>30.1</v>
      </c>
      <c r="F3025">
        <v>9.5270399897003202</v>
      </c>
    </row>
    <row r="3026" spans="1:6" x14ac:dyDescent="0.2">
      <c r="A3026">
        <v>736787.64410000003</v>
      </c>
      <c r="B3026">
        <v>-149.596858</v>
      </c>
      <c r="C3026">
        <v>-17.024287000000001</v>
      </c>
      <c r="D3026">
        <v>155.04079979400601</v>
      </c>
      <c r="E3026">
        <v>30.1</v>
      </c>
      <c r="F3026">
        <v>9.5270399897003202</v>
      </c>
    </row>
    <row r="3027" spans="1:6" x14ac:dyDescent="0.2">
      <c r="A3027">
        <v>736787.64410000003</v>
      </c>
      <c r="B3027">
        <v>-149.59684200000001</v>
      </c>
      <c r="C3027">
        <v>-17.024284000000002</v>
      </c>
      <c r="D3027">
        <v>155.04079979400601</v>
      </c>
      <c r="E3027">
        <v>30.1</v>
      </c>
      <c r="F3027">
        <v>9.5270399897003202</v>
      </c>
    </row>
    <row r="3028" spans="1:6" x14ac:dyDescent="0.2">
      <c r="A3028">
        <v>736787.64410000003</v>
      </c>
      <c r="B3028">
        <v>-149.59683200000001</v>
      </c>
      <c r="C3028">
        <v>-17.024280999999998</v>
      </c>
      <c r="D3028">
        <v>155.04079979400601</v>
      </c>
      <c r="E3028">
        <v>30.1</v>
      </c>
      <c r="F3028">
        <v>9.5270399897003202</v>
      </c>
    </row>
    <row r="3029" spans="1:6" x14ac:dyDescent="0.2">
      <c r="A3029">
        <v>736787.64410000003</v>
      </c>
      <c r="B3029">
        <v>-149.59681900000001</v>
      </c>
      <c r="C3029">
        <v>-17.024277000000001</v>
      </c>
      <c r="D3029">
        <v>155.04079979400601</v>
      </c>
      <c r="E3029">
        <v>30.1</v>
      </c>
      <c r="F3029">
        <v>9.5270399897003202</v>
      </c>
    </row>
    <row r="3030" spans="1:6" x14ac:dyDescent="0.2">
      <c r="A3030">
        <v>736787.64419999998</v>
      </c>
      <c r="B3030">
        <v>-149.59680499999999</v>
      </c>
      <c r="C3030">
        <v>-17.024272</v>
      </c>
      <c r="D3030">
        <v>155.112799787569</v>
      </c>
      <c r="E3030">
        <v>30.1</v>
      </c>
      <c r="F3030">
        <v>9.5275199858379196</v>
      </c>
    </row>
    <row r="3031" spans="1:6" x14ac:dyDescent="0.2">
      <c r="A3031">
        <v>736787.64419999998</v>
      </c>
      <c r="B3031">
        <v>-149.59679399999999</v>
      </c>
      <c r="C3031">
        <v>-17.024269</v>
      </c>
      <c r="D3031">
        <v>155.112799787569</v>
      </c>
      <c r="E3031">
        <v>30.1</v>
      </c>
      <c r="F3031">
        <v>9.5275199858379196</v>
      </c>
    </row>
    <row r="3032" spans="1:6" x14ac:dyDescent="0.2">
      <c r="A3032">
        <v>736787.64419999998</v>
      </c>
      <c r="B3032">
        <v>-149.59678199999999</v>
      </c>
      <c r="C3032">
        <v>-17.024263000000001</v>
      </c>
      <c r="D3032">
        <v>155.112799787569</v>
      </c>
      <c r="E3032">
        <v>30.1</v>
      </c>
      <c r="F3032">
        <v>9.5275199858379196</v>
      </c>
    </row>
    <row r="3033" spans="1:6" x14ac:dyDescent="0.2">
      <c r="A3033">
        <v>736787.64419999998</v>
      </c>
      <c r="B3033">
        <v>-149.59677199999999</v>
      </c>
      <c r="C3033">
        <v>-17.024260999999999</v>
      </c>
      <c r="D3033">
        <v>155.112799787569</v>
      </c>
      <c r="E3033">
        <v>30.1</v>
      </c>
      <c r="F3033">
        <v>9.5275199858379196</v>
      </c>
    </row>
    <row r="3034" spans="1:6" x14ac:dyDescent="0.2">
      <c r="A3034">
        <v>736787.64419999998</v>
      </c>
      <c r="B3034">
        <v>-149.59676200000001</v>
      </c>
      <c r="C3034">
        <v>-17.024256000000001</v>
      </c>
      <c r="D3034">
        <v>155.112799787569</v>
      </c>
      <c r="E3034">
        <v>30.1</v>
      </c>
      <c r="F3034">
        <v>9.5275199858379196</v>
      </c>
    </row>
    <row r="3035" spans="1:6" x14ac:dyDescent="0.2">
      <c r="A3035">
        <v>736787.64419999998</v>
      </c>
      <c r="B3035">
        <v>-149.596745</v>
      </c>
      <c r="C3035">
        <v>-17.024246999999999</v>
      </c>
      <c r="D3035">
        <v>155.112799787569</v>
      </c>
      <c r="E3035">
        <v>30.1</v>
      </c>
      <c r="F3035">
        <v>9.5275199858379196</v>
      </c>
    </row>
    <row r="3036" spans="1:6" x14ac:dyDescent="0.2">
      <c r="A3036">
        <v>736787.64419999998</v>
      </c>
      <c r="B3036">
        <v>-149.59673799999999</v>
      </c>
      <c r="C3036">
        <v>-17.024231</v>
      </c>
      <c r="D3036">
        <v>155.112799787569</v>
      </c>
      <c r="E3036">
        <v>30.1</v>
      </c>
      <c r="F3036">
        <v>9.5275199858379196</v>
      </c>
    </row>
    <row r="3037" spans="1:6" x14ac:dyDescent="0.2">
      <c r="A3037">
        <v>736787.64430000004</v>
      </c>
      <c r="B3037">
        <v>-149.596732</v>
      </c>
      <c r="C3037">
        <v>-17.024221000000001</v>
      </c>
      <c r="D3037">
        <v>156.110400057936</v>
      </c>
      <c r="E3037">
        <v>30.210400057935701</v>
      </c>
      <c r="F3037">
        <v>9.5779199884128605</v>
      </c>
    </row>
    <row r="3038" spans="1:6" x14ac:dyDescent="0.2">
      <c r="A3038">
        <v>736787.64430000004</v>
      </c>
      <c r="B3038">
        <v>-149.59672800000001</v>
      </c>
      <c r="C3038">
        <v>-17.024207000000001</v>
      </c>
      <c r="D3038">
        <v>156.110400057936</v>
      </c>
      <c r="E3038">
        <v>30.210400057935701</v>
      </c>
      <c r="F3038">
        <v>9.5779199884128605</v>
      </c>
    </row>
    <row r="3039" spans="1:6" x14ac:dyDescent="0.2">
      <c r="A3039">
        <v>736787.64430000004</v>
      </c>
      <c r="B3039">
        <v>-149.59672</v>
      </c>
      <c r="C3039">
        <v>-17.024196</v>
      </c>
      <c r="D3039">
        <v>156.110400057936</v>
      </c>
      <c r="E3039">
        <v>30.210400057935701</v>
      </c>
      <c r="F3039">
        <v>9.5779199884128605</v>
      </c>
    </row>
    <row r="3040" spans="1:6" x14ac:dyDescent="0.2">
      <c r="A3040">
        <v>736787.64430000004</v>
      </c>
      <c r="B3040">
        <v>-149.59671499999999</v>
      </c>
      <c r="C3040">
        <v>-17.024187999999999</v>
      </c>
      <c r="D3040">
        <v>156.110400057936</v>
      </c>
      <c r="E3040">
        <v>30.210400057935701</v>
      </c>
      <c r="F3040">
        <v>9.5779199884128605</v>
      </c>
    </row>
    <row r="3041" spans="1:6" x14ac:dyDescent="0.2">
      <c r="A3041">
        <v>736787.64430000004</v>
      </c>
      <c r="B3041">
        <v>-149.596712</v>
      </c>
      <c r="C3041">
        <v>-17.024176000000001</v>
      </c>
      <c r="D3041">
        <v>156.110400057936</v>
      </c>
      <c r="E3041">
        <v>30.210400057935701</v>
      </c>
      <c r="F3041">
        <v>9.5779199884128605</v>
      </c>
    </row>
    <row r="3042" spans="1:6" x14ac:dyDescent="0.2">
      <c r="A3042">
        <v>736787.64430000004</v>
      </c>
      <c r="B3042">
        <v>-149.59670700000001</v>
      </c>
      <c r="C3042">
        <v>-17.024166999999998</v>
      </c>
      <c r="D3042">
        <v>156.110400057936</v>
      </c>
      <c r="E3042">
        <v>30.210400057935701</v>
      </c>
      <c r="F3042">
        <v>9.5779199884128605</v>
      </c>
    </row>
    <row r="3043" spans="1:6" x14ac:dyDescent="0.2">
      <c r="A3043">
        <v>736787.64430000004</v>
      </c>
      <c r="B3043">
        <v>-149.596698</v>
      </c>
      <c r="C3043">
        <v>-17.024159999999998</v>
      </c>
      <c r="D3043">
        <v>156.110400057936</v>
      </c>
      <c r="E3043">
        <v>30.210400057935701</v>
      </c>
      <c r="F3043">
        <v>9.5779199884128605</v>
      </c>
    </row>
    <row r="3044" spans="1:6" x14ac:dyDescent="0.2">
      <c r="A3044">
        <v>736787.64439999999</v>
      </c>
      <c r="B3044">
        <v>-149.59668199999999</v>
      </c>
      <c r="C3044">
        <v>-17.024153999999999</v>
      </c>
      <c r="D3044">
        <v>159.44480106698401</v>
      </c>
      <c r="E3044">
        <v>30.3</v>
      </c>
      <c r="F3044">
        <v>9.7596800656605698</v>
      </c>
    </row>
    <row r="3045" spans="1:6" x14ac:dyDescent="0.2">
      <c r="A3045">
        <v>736787.64439999999</v>
      </c>
      <c r="B3045">
        <v>-149.596665</v>
      </c>
      <c r="C3045">
        <v>-17.024155</v>
      </c>
      <c r="D3045">
        <v>159.44480106698401</v>
      </c>
      <c r="E3045">
        <v>30.3</v>
      </c>
      <c r="F3045">
        <v>9.7596800656605698</v>
      </c>
    </row>
    <row r="3046" spans="1:6" x14ac:dyDescent="0.2">
      <c r="A3046">
        <v>736787.64439999999</v>
      </c>
      <c r="B3046">
        <v>-149.596653</v>
      </c>
      <c r="C3046">
        <v>-17.024155</v>
      </c>
      <c r="D3046">
        <v>159.44480106698401</v>
      </c>
      <c r="E3046">
        <v>30.3</v>
      </c>
      <c r="F3046">
        <v>9.7596800656605698</v>
      </c>
    </row>
    <row r="3047" spans="1:6" x14ac:dyDescent="0.2">
      <c r="A3047">
        <v>736787.64439999999</v>
      </c>
      <c r="B3047">
        <v>-149.59663800000001</v>
      </c>
      <c r="C3047">
        <v>-17.024153999999999</v>
      </c>
      <c r="D3047">
        <v>159.44480106698401</v>
      </c>
      <c r="E3047">
        <v>30.3</v>
      </c>
      <c r="F3047">
        <v>9.7596800656605698</v>
      </c>
    </row>
    <row r="3048" spans="1:6" x14ac:dyDescent="0.2">
      <c r="A3048">
        <v>736787.64439999999</v>
      </c>
      <c r="B3048">
        <v>-149.596622</v>
      </c>
      <c r="C3048">
        <v>-17.024160999999999</v>
      </c>
      <c r="D3048">
        <v>159.44480106698401</v>
      </c>
      <c r="E3048">
        <v>30.3</v>
      </c>
      <c r="F3048">
        <v>9.7596800656605698</v>
      </c>
    </row>
    <row r="3049" spans="1:6" x14ac:dyDescent="0.2">
      <c r="A3049">
        <v>736787.64439999999</v>
      </c>
      <c r="B3049">
        <v>-149.59660700000001</v>
      </c>
      <c r="C3049">
        <v>-17.024163000000001</v>
      </c>
      <c r="D3049">
        <v>159.44480106698401</v>
      </c>
      <c r="E3049">
        <v>30.3</v>
      </c>
      <c r="F3049">
        <v>9.7596800656605698</v>
      </c>
    </row>
    <row r="3050" spans="1:6" x14ac:dyDescent="0.2">
      <c r="A3050">
        <v>736787.64439999999</v>
      </c>
      <c r="B3050">
        <v>-149.59658999999999</v>
      </c>
      <c r="C3050">
        <v>-17.024166000000001</v>
      </c>
      <c r="D3050">
        <v>159.44480106698401</v>
      </c>
      <c r="E3050">
        <v>30.3</v>
      </c>
      <c r="F3050">
        <v>9.7596800656605698</v>
      </c>
    </row>
    <row r="3051" spans="1:6" x14ac:dyDescent="0.2">
      <c r="A3051">
        <v>736787.64439999999</v>
      </c>
      <c r="B3051">
        <v>-149.596576</v>
      </c>
      <c r="C3051">
        <v>-17.024170000000002</v>
      </c>
      <c r="D3051">
        <v>159.44480106698401</v>
      </c>
      <c r="E3051">
        <v>30.3</v>
      </c>
      <c r="F3051">
        <v>9.7596800656605698</v>
      </c>
    </row>
    <row r="3052" spans="1:6" x14ac:dyDescent="0.2">
      <c r="A3052">
        <v>736787.64450000005</v>
      </c>
      <c r="B3052">
        <v>-149.596564</v>
      </c>
      <c r="C3052">
        <v>-17.024173999999999</v>
      </c>
      <c r="D3052">
        <v>165.35600006437301</v>
      </c>
      <c r="E3052">
        <v>30.6680001931189</v>
      </c>
      <c r="F3052">
        <v>10.0675999742508</v>
      </c>
    </row>
    <row r="3053" spans="1:6" x14ac:dyDescent="0.2">
      <c r="A3053">
        <v>736787.64450000005</v>
      </c>
      <c r="B3053">
        <v>-149.59654900000001</v>
      </c>
      <c r="C3053">
        <v>-17.024173999999999</v>
      </c>
      <c r="D3053">
        <v>165.35600006437301</v>
      </c>
      <c r="E3053">
        <v>30.6680001931189</v>
      </c>
      <c r="F3053">
        <v>10.0675999742508</v>
      </c>
    </row>
    <row r="3054" spans="1:6" x14ac:dyDescent="0.2">
      <c r="A3054">
        <v>736787.64450000005</v>
      </c>
      <c r="B3054">
        <v>-149.59653900000001</v>
      </c>
      <c r="C3054">
        <v>-17.024177999999999</v>
      </c>
      <c r="D3054">
        <v>165.35600006437301</v>
      </c>
      <c r="E3054">
        <v>30.6680001931189</v>
      </c>
      <c r="F3054">
        <v>10.0675999742508</v>
      </c>
    </row>
    <row r="3055" spans="1:6" x14ac:dyDescent="0.2">
      <c r="A3055">
        <v>736787.64450000005</v>
      </c>
      <c r="B3055">
        <v>-149.59652299999999</v>
      </c>
      <c r="C3055">
        <v>-17.024184000000002</v>
      </c>
      <c r="D3055">
        <v>165.35600006437301</v>
      </c>
      <c r="E3055">
        <v>30.6680001931189</v>
      </c>
      <c r="F3055">
        <v>10.0675999742508</v>
      </c>
    </row>
    <row r="3056" spans="1:6" x14ac:dyDescent="0.2">
      <c r="A3056">
        <v>736787.64450000005</v>
      </c>
      <c r="B3056">
        <v>-149.59650099999999</v>
      </c>
      <c r="C3056">
        <v>-17.024184000000002</v>
      </c>
      <c r="D3056">
        <v>165.35600006437301</v>
      </c>
      <c r="E3056">
        <v>30.6680001931189</v>
      </c>
      <c r="F3056">
        <v>10.0675999742508</v>
      </c>
    </row>
    <row r="3057" spans="1:6" x14ac:dyDescent="0.2">
      <c r="A3057">
        <v>736787.64450000005</v>
      </c>
      <c r="B3057">
        <v>-149.59648300000001</v>
      </c>
      <c r="C3057">
        <v>-17.024186</v>
      </c>
      <c r="D3057">
        <v>165.35600006437301</v>
      </c>
      <c r="E3057">
        <v>30.6680001931189</v>
      </c>
      <c r="F3057">
        <v>10.0675999742508</v>
      </c>
    </row>
    <row r="3058" spans="1:6" x14ac:dyDescent="0.2">
      <c r="A3058">
        <v>736787.64450000005</v>
      </c>
      <c r="B3058">
        <v>-149.596464</v>
      </c>
      <c r="C3058">
        <v>-17.024186</v>
      </c>
      <c r="D3058">
        <v>165.35600006437301</v>
      </c>
      <c r="E3058">
        <v>30.6680001931189</v>
      </c>
      <c r="F3058">
        <v>10.0675999742508</v>
      </c>
    </row>
    <row r="3059" spans="1:6" x14ac:dyDescent="0.2">
      <c r="A3059">
        <v>736787.64450000005</v>
      </c>
      <c r="B3059">
        <v>-149.59642500000001</v>
      </c>
      <c r="C3059">
        <v>-17.024182</v>
      </c>
      <c r="D3059">
        <v>165.35600006437301</v>
      </c>
      <c r="E3059">
        <v>30.6680001931189</v>
      </c>
      <c r="F3059">
        <v>10.0675999742508</v>
      </c>
    </row>
    <row r="3060" spans="1:6" x14ac:dyDescent="0.2">
      <c r="A3060">
        <v>736787.6446</v>
      </c>
      <c r="B3060">
        <v>-149.59640899999999</v>
      </c>
      <c r="C3060">
        <v>-17.024184000000002</v>
      </c>
      <c r="D3060">
        <v>175.96160554251301</v>
      </c>
      <c r="E3060">
        <v>30.857600135183301</v>
      </c>
      <c r="F3060">
        <v>10.6824803109215</v>
      </c>
    </row>
    <row r="3061" spans="1:6" x14ac:dyDescent="0.2">
      <c r="A3061">
        <v>736787.6446</v>
      </c>
      <c r="B3061">
        <v>-149.596394</v>
      </c>
      <c r="C3061">
        <v>-17.024180000000001</v>
      </c>
      <c r="D3061">
        <v>175.96160554251301</v>
      </c>
      <c r="E3061">
        <v>30.857600135183301</v>
      </c>
      <c r="F3061">
        <v>10.6824803109215</v>
      </c>
    </row>
    <row r="3062" spans="1:6" x14ac:dyDescent="0.2">
      <c r="A3062">
        <v>736787.6446</v>
      </c>
      <c r="B3062">
        <v>-149.59637900000001</v>
      </c>
      <c r="C3062">
        <v>-17.024173999999999</v>
      </c>
      <c r="D3062">
        <v>175.96160554251301</v>
      </c>
      <c r="E3062">
        <v>30.857600135183301</v>
      </c>
      <c r="F3062">
        <v>10.6824803109215</v>
      </c>
    </row>
    <row r="3063" spans="1:6" x14ac:dyDescent="0.2">
      <c r="A3063">
        <v>736787.6446</v>
      </c>
      <c r="B3063">
        <v>-149.59636</v>
      </c>
      <c r="C3063">
        <v>-17.024173999999999</v>
      </c>
      <c r="D3063">
        <v>175.96160554251301</v>
      </c>
      <c r="E3063">
        <v>30.857600135183301</v>
      </c>
      <c r="F3063">
        <v>10.6824803109215</v>
      </c>
    </row>
    <row r="3064" spans="1:6" x14ac:dyDescent="0.2">
      <c r="A3064">
        <v>736787.6446</v>
      </c>
      <c r="B3064">
        <v>-149.59634399999999</v>
      </c>
      <c r="C3064">
        <v>-17.024173999999999</v>
      </c>
      <c r="D3064">
        <v>175.96160554251301</v>
      </c>
      <c r="E3064">
        <v>30.857600135183301</v>
      </c>
      <c r="F3064">
        <v>10.6824803109215</v>
      </c>
    </row>
    <row r="3065" spans="1:6" x14ac:dyDescent="0.2">
      <c r="A3065">
        <v>736787.6446</v>
      </c>
      <c r="B3065">
        <v>-149.596328</v>
      </c>
      <c r="C3065">
        <v>-17.024176000000001</v>
      </c>
      <c r="D3065">
        <v>175.96160554251301</v>
      </c>
      <c r="E3065">
        <v>30.857600135183301</v>
      </c>
      <c r="F3065">
        <v>10.6824803109215</v>
      </c>
    </row>
    <row r="3066" spans="1:6" x14ac:dyDescent="0.2">
      <c r="A3066">
        <v>736787.6446</v>
      </c>
      <c r="B3066">
        <v>-149.59631200000001</v>
      </c>
      <c r="C3066">
        <v>-17.024173999999999</v>
      </c>
      <c r="D3066">
        <v>175.96160554251301</v>
      </c>
      <c r="E3066">
        <v>30.857600135183301</v>
      </c>
      <c r="F3066">
        <v>10.6824803109215</v>
      </c>
    </row>
    <row r="3067" spans="1:6" x14ac:dyDescent="0.2">
      <c r="A3067">
        <v>736787.6446</v>
      </c>
      <c r="B3067">
        <v>-149.59629799999999</v>
      </c>
      <c r="C3067">
        <v>-17.024173999999999</v>
      </c>
      <c r="D3067">
        <v>175.96160554251301</v>
      </c>
      <c r="E3067">
        <v>30.857600135183301</v>
      </c>
      <c r="F3067">
        <v>10.6824803109215</v>
      </c>
    </row>
    <row r="3068" spans="1:6" x14ac:dyDescent="0.2">
      <c r="A3068">
        <v>736787.64469999995</v>
      </c>
      <c r="B3068">
        <v>-149.59628799999999</v>
      </c>
      <c r="C3068">
        <v>-17.024176000000001</v>
      </c>
      <c r="D3068">
        <v>181.913590973281</v>
      </c>
      <c r="E3068">
        <v>31.2</v>
      </c>
      <c r="F3068">
        <v>10.986879453311399</v>
      </c>
    </row>
    <row r="3069" spans="1:6" x14ac:dyDescent="0.2">
      <c r="A3069">
        <v>736787.64469999995</v>
      </c>
      <c r="B3069">
        <v>-149.59627800000001</v>
      </c>
      <c r="C3069">
        <v>-17.024173999999999</v>
      </c>
      <c r="D3069">
        <v>181.913590973281</v>
      </c>
      <c r="E3069">
        <v>31.2</v>
      </c>
      <c r="F3069">
        <v>10.986879453311399</v>
      </c>
    </row>
    <row r="3070" spans="1:6" x14ac:dyDescent="0.2">
      <c r="A3070">
        <v>736787.64469999995</v>
      </c>
      <c r="B3070">
        <v>-149.59626399999999</v>
      </c>
      <c r="C3070">
        <v>-17.024172</v>
      </c>
      <c r="D3070">
        <v>181.913590973281</v>
      </c>
      <c r="E3070">
        <v>31.2</v>
      </c>
      <c r="F3070">
        <v>10.986879453311399</v>
      </c>
    </row>
    <row r="3071" spans="1:6" x14ac:dyDescent="0.2">
      <c r="A3071">
        <v>736787.64469999995</v>
      </c>
      <c r="B3071">
        <v>-149.59625</v>
      </c>
      <c r="C3071">
        <v>-17.024170000000002</v>
      </c>
      <c r="D3071">
        <v>181.913590973281</v>
      </c>
      <c r="E3071">
        <v>31.2</v>
      </c>
      <c r="F3071">
        <v>10.986879453311399</v>
      </c>
    </row>
    <row r="3072" spans="1:6" x14ac:dyDescent="0.2">
      <c r="A3072">
        <v>736787.64469999995</v>
      </c>
      <c r="B3072">
        <v>-149.59623500000001</v>
      </c>
      <c r="C3072">
        <v>-17.024172</v>
      </c>
      <c r="D3072">
        <v>181.913590973281</v>
      </c>
      <c r="E3072">
        <v>31.2</v>
      </c>
      <c r="F3072">
        <v>10.986879453311399</v>
      </c>
    </row>
    <row r="3073" spans="1:6" x14ac:dyDescent="0.2">
      <c r="A3073">
        <v>736787.64469999995</v>
      </c>
      <c r="B3073">
        <v>-149.59622100000001</v>
      </c>
      <c r="C3073">
        <v>-17.024177999999999</v>
      </c>
      <c r="D3073">
        <v>181.913590973281</v>
      </c>
      <c r="E3073">
        <v>31.2</v>
      </c>
      <c r="F3073">
        <v>10.986879453311399</v>
      </c>
    </row>
    <row r="3074" spans="1:6" x14ac:dyDescent="0.2">
      <c r="A3074">
        <v>736787.64469999995</v>
      </c>
      <c r="B3074">
        <v>-149.59620799999999</v>
      </c>
      <c r="C3074">
        <v>-17.024177999999999</v>
      </c>
      <c r="D3074">
        <v>181.913590973281</v>
      </c>
      <c r="E3074">
        <v>31.2</v>
      </c>
      <c r="F3074">
        <v>10.986879453311399</v>
      </c>
    </row>
    <row r="3075" spans="1:6" x14ac:dyDescent="0.2">
      <c r="A3075">
        <v>736787.64469999995</v>
      </c>
      <c r="B3075">
        <v>-149.596194</v>
      </c>
      <c r="C3075">
        <v>-17.024180000000001</v>
      </c>
      <c r="D3075">
        <v>181.913590973281</v>
      </c>
      <c r="E3075">
        <v>31.2</v>
      </c>
      <c r="F3075">
        <v>10.986879453311399</v>
      </c>
    </row>
    <row r="3076" spans="1:6" x14ac:dyDescent="0.2">
      <c r="A3076">
        <v>736787.64469999995</v>
      </c>
      <c r="B3076">
        <v>-149.596181</v>
      </c>
      <c r="C3076">
        <v>-17.024180000000001</v>
      </c>
      <c r="D3076">
        <v>181.913590973281</v>
      </c>
      <c r="E3076">
        <v>31.2</v>
      </c>
      <c r="F3076">
        <v>10.986879453311399</v>
      </c>
    </row>
    <row r="3077" spans="1:6" x14ac:dyDescent="0.2">
      <c r="A3077">
        <v>736787.64480000001</v>
      </c>
      <c r="B3077">
        <v>-149.596169</v>
      </c>
      <c r="C3077">
        <v>-17.024177999999999</v>
      </c>
      <c r="D3077">
        <v>191.65280273907001</v>
      </c>
      <c r="E3077">
        <v>31.2</v>
      </c>
      <c r="F3077">
        <v>11.573680162863599</v>
      </c>
    </row>
    <row r="3078" spans="1:6" x14ac:dyDescent="0.2">
      <c r="A3078">
        <v>736787.64480000001</v>
      </c>
      <c r="B3078">
        <v>-149.59615500000001</v>
      </c>
      <c r="C3078">
        <v>-17.024176000000001</v>
      </c>
      <c r="D3078">
        <v>191.65280273907001</v>
      </c>
      <c r="E3078">
        <v>31.2</v>
      </c>
      <c r="F3078">
        <v>11.573680162863599</v>
      </c>
    </row>
    <row r="3079" spans="1:6" x14ac:dyDescent="0.2">
      <c r="A3079">
        <v>736787.64480000001</v>
      </c>
      <c r="B3079">
        <v>-149.59614099999999</v>
      </c>
      <c r="C3079">
        <v>-17.024176000000001</v>
      </c>
      <c r="D3079">
        <v>191.65280273907001</v>
      </c>
      <c r="E3079">
        <v>31.2</v>
      </c>
      <c r="F3079">
        <v>11.573680162863599</v>
      </c>
    </row>
    <row r="3080" spans="1:6" x14ac:dyDescent="0.2">
      <c r="A3080">
        <v>736787.64480000001</v>
      </c>
      <c r="B3080">
        <v>-149.59612899999999</v>
      </c>
      <c r="C3080">
        <v>-17.024177999999999</v>
      </c>
      <c r="D3080">
        <v>191.65280273907001</v>
      </c>
      <c r="E3080">
        <v>31.2</v>
      </c>
      <c r="F3080">
        <v>11.573680162863599</v>
      </c>
    </row>
    <row r="3081" spans="1:6" x14ac:dyDescent="0.2">
      <c r="A3081">
        <v>736787.64480000001</v>
      </c>
      <c r="B3081">
        <v>-149.59611699999999</v>
      </c>
      <c r="C3081">
        <v>-17.024177999999999</v>
      </c>
      <c r="D3081">
        <v>191.65280273907001</v>
      </c>
      <c r="E3081">
        <v>31.2</v>
      </c>
      <c r="F3081">
        <v>11.573680162863599</v>
      </c>
    </row>
    <row r="3082" spans="1:6" x14ac:dyDescent="0.2">
      <c r="A3082">
        <v>736787.64480000001</v>
      </c>
      <c r="B3082">
        <v>-149.59610499999999</v>
      </c>
      <c r="C3082">
        <v>-17.024180000000001</v>
      </c>
      <c r="D3082">
        <v>191.65280273907001</v>
      </c>
      <c r="E3082">
        <v>31.2</v>
      </c>
      <c r="F3082">
        <v>11.573680162863599</v>
      </c>
    </row>
    <row r="3083" spans="1:6" x14ac:dyDescent="0.2">
      <c r="A3083">
        <v>736787.64480000001</v>
      </c>
      <c r="B3083">
        <v>-149.59609399999999</v>
      </c>
      <c r="C3083">
        <v>-17.024180000000001</v>
      </c>
      <c r="D3083">
        <v>191.65280273907001</v>
      </c>
      <c r="E3083">
        <v>31.2</v>
      </c>
      <c r="F3083">
        <v>11.573680162863599</v>
      </c>
    </row>
    <row r="3084" spans="1:6" x14ac:dyDescent="0.2">
      <c r="A3084">
        <v>736787.64480000001</v>
      </c>
      <c r="B3084">
        <v>-149.59608299999999</v>
      </c>
      <c r="C3084">
        <v>-17.024180000000001</v>
      </c>
      <c r="D3084">
        <v>191.65280273907001</v>
      </c>
      <c r="E3084">
        <v>31.2</v>
      </c>
      <c r="F3084">
        <v>11.573680162863599</v>
      </c>
    </row>
    <row r="3085" spans="1:6" x14ac:dyDescent="0.2">
      <c r="A3085">
        <v>736787.64480000001</v>
      </c>
      <c r="B3085">
        <v>-149.59607099999999</v>
      </c>
      <c r="C3085">
        <v>-17.024180000000001</v>
      </c>
      <c r="D3085">
        <v>191.65280273907001</v>
      </c>
      <c r="E3085">
        <v>31.2</v>
      </c>
      <c r="F3085">
        <v>11.573680162863599</v>
      </c>
    </row>
    <row r="3086" spans="1:6" x14ac:dyDescent="0.2">
      <c r="A3086">
        <v>736787.64489999996</v>
      </c>
      <c r="B3086">
        <v>-149.59605999999999</v>
      </c>
      <c r="C3086">
        <v>-17.024180000000001</v>
      </c>
      <c r="D3086">
        <v>192.73599938040999</v>
      </c>
      <c r="E3086">
        <v>31.2</v>
      </c>
      <c r="F3086">
        <v>11.644159962824601</v>
      </c>
    </row>
    <row r="3087" spans="1:6" x14ac:dyDescent="0.2">
      <c r="A3087">
        <v>736787.64489999996</v>
      </c>
      <c r="B3087">
        <v>-149.59604400000001</v>
      </c>
      <c r="C3087">
        <v>-17.024180000000001</v>
      </c>
      <c r="D3087">
        <v>192.73599938040999</v>
      </c>
      <c r="E3087">
        <v>31.2</v>
      </c>
      <c r="F3087">
        <v>11.644159962824601</v>
      </c>
    </row>
    <row r="3088" spans="1:6" x14ac:dyDescent="0.2">
      <c r="A3088">
        <v>736787.64489999996</v>
      </c>
      <c r="B3088">
        <v>-149.59603100000001</v>
      </c>
      <c r="C3088">
        <v>-17.024176000000001</v>
      </c>
      <c r="D3088">
        <v>192.73599938040999</v>
      </c>
      <c r="E3088">
        <v>31.2</v>
      </c>
      <c r="F3088">
        <v>11.644159962824601</v>
      </c>
    </row>
    <row r="3089" spans="1:6" x14ac:dyDescent="0.2">
      <c r="A3089">
        <v>736787.64489999996</v>
      </c>
      <c r="B3089">
        <v>-149.59601599999999</v>
      </c>
      <c r="C3089">
        <v>-17.024182</v>
      </c>
      <c r="D3089">
        <v>192.73599938040999</v>
      </c>
      <c r="E3089">
        <v>31.2</v>
      </c>
      <c r="F3089">
        <v>11.644159962824601</v>
      </c>
    </row>
    <row r="3090" spans="1:6" x14ac:dyDescent="0.2">
      <c r="A3090">
        <v>736787.64500000002</v>
      </c>
      <c r="B3090">
        <v>-149.596002</v>
      </c>
      <c r="C3090">
        <v>-17.024186</v>
      </c>
      <c r="D3090">
        <v>190.47999710321599</v>
      </c>
      <c r="E3090">
        <v>31.079999919533801</v>
      </c>
      <c r="F3090">
        <v>11.537999831020899</v>
      </c>
    </row>
    <row r="3091" spans="1:6" x14ac:dyDescent="0.2">
      <c r="A3091">
        <v>736787.64500000002</v>
      </c>
      <c r="B3091">
        <v>-149.59598700000001</v>
      </c>
      <c r="C3091">
        <v>-17.024187999999999</v>
      </c>
      <c r="D3091">
        <v>190.47999710321599</v>
      </c>
      <c r="E3091">
        <v>31.079999919533801</v>
      </c>
      <c r="F3091">
        <v>11.537999831020899</v>
      </c>
    </row>
    <row r="3092" spans="1:6" x14ac:dyDescent="0.2">
      <c r="A3092">
        <v>736787.64500000002</v>
      </c>
      <c r="B3092">
        <v>-149.59596999999999</v>
      </c>
      <c r="C3092">
        <v>-17.024191999999999</v>
      </c>
      <c r="D3092">
        <v>190.47999710321599</v>
      </c>
      <c r="E3092">
        <v>31.079999919533801</v>
      </c>
      <c r="F3092">
        <v>11.537999831020899</v>
      </c>
    </row>
    <row r="3093" spans="1:6" x14ac:dyDescent="0.2">
      <c r="A3093">
        <v>736787.64500000002</v>
      </c>
      <c r="B3093">
        <v>-149.59596300000001</v>
      </c>
      <c r="C3093">
        <v>-17.024197999999998</v>
      </c>
      <c r="D3093">
        <v>190.47999710321599</v>
      </c>
      <c r="E3093">
        <v>31.079999919533801</v>
      </c>
      <c r="F3093">
        <v>11.537999831020899</v>
      </c>
    </row>
    <row r="3094" spans="1:6" x14ac:dyDescent="0.2">
      <c r="A3094">
        <v>736787.64500000002</v>
      </c>
      <c r="B3094">
        <v>-149.59595400000001</v>
      </c>
      <c r="C3094">
        <v>-17.024204000000001</v>
      </c>
      <c r="D3094">
        <v>190.47999710321599</v>
      </c>
      <c r="E3094">
        <v>31.079999919533801</v>
      </c>
      <c r="F3094">
        <v>11.537999831020899</v>
      </c>
    </row>
    <row r="3095" spans="1:6" x14ac:dyDescent="0.2">
      <c r="A3095">
        <v>736787.64509999997</v>
      </c>
      <c r="B3095">
        <v>-149.59594300000001</v>
      </c>
      <c r="C3095">
        <v>-17.024214000000001</v>
      </c>
      <c r="D3095">
        <v>187.50720011748101</v>
      </c>
      <c r="E3095">
        <v>30.721600352442</v>
      </c>
      <c r="F3095">
        <v>11.407119953007699</v>
      </c>
    </row>
    <row r="3096" spans="1:6" x14ac:dyDescent="0.2">
      <c r="A3096">
        <v>736787.64509999997</v>
      </c>
      <c r="B3096">
        <v>-149.59593000000001</v>
      </c>
      <c r="C3096">
        <v>-17.024222000000002</v>
      </c>
      <c r="D3096">
        <v>187.50720011748101</v>
      </c>
      <c r="E3096">
        <v>30.721600352442</v>
      </c>
      <c r="F3096">
        <v>11.407119953007699</v>
      </c>
    </row>
    <row r="3097" spans="1:6" x14ac:dyDescent="0.2">
      <c r="A3097">
        <v>736787.64509999997</v>
      </c>
      <c r="B3097">
        <v>-149.59592000000001</v>
      </c>
      <c r="C3097">
        <v>-17.024225999999999</v>
      </c>
      <c r="D3097">
        <v>187.50720011748101</v>
      </c>
      <c r="E3097">
        <v>30.721600352442</v>
      </c>
      <c r="F3097">
        <v>11.407119953007699</v>
      </c>
    </row>
    <row r="3098" spans="1:6" x14ac:dyDescent="0.2">
      <c r="A3098">
        <v>736787.64509999997</v>
      </c>
      <c r="B3098">
        <v>-149.59590700000001</v>
      </c>
      <c r="C3098">
        <v>-17.024232000000001</v>
      </c>
      <c r="D3098">
        <v>187.50720011748101</v>
      </c>
      <c r="E3098">
        <v>30.721600352442</v>
      </c>
      <c r="F3098">
        <v>11.407119953007699</v>
      </c>
    </row>
    <row r="3099" spans="1:6" x14ac:dyDescent="0.2">
      <c r="A3099">
        <v>736787.64520000003</v>
      </c>
      <c r="B3099">
        <v>-149.59589800000001</v>
      </c>
      <c r="C3099">
        <v>-17.024236999999999</v>
      </c>
      <c r="D3099">
        <v>175.15199304771801</v>
      </c>
      <c r="E3099">
        <v>30.568799826193001</v>
      </c>
      <c r="F3099">
        <v>10.684799608934201</v>
      </c>
    </row>
    <row r="3100" spans="1:6" x14ac:dyDescent="0.2">
      <c r="A3100">
        <v>736787.64520000003</v>
      </c>
      <c r="B3100">
        <v>-149.59589</v>
      </c>
      <c r="C3100">
        <v>-17.024242999999998</v>
      </c>
      <c r="D3100">
        <v>175.15199304771801</v>
      </c>
      <c r="E3100">
        <v>30.568799826193001</v>
      </c>
      <c r="F3100">
        <v>10.684799608934201</v>
      </c>
    </row>
    <row r="3101" spans="1:6" x14ac:dyDescent="0.2">
      <c r="A3101">
        <v>736787.64520000003</v>
      </c>
      <c r="B3101">
        <v>-149.59587500000001</v>
      </c>
      <c r="C3101">
        <v>-17.024246999999999</v>
      </c>
      <c r="D3101">
        <v>175.15199304771801</v>
      </c>
      <c r="E3101">
        <v>30.568799826193001</v>
      </c>
      <c r="F3101">
        <v>10.684799608934201</v>
      </c>
    </row>
    <row r="3102" spans="1:6" x14ac:dyDescent="0.2">
      <c r="A3102">
        <v>736787.64520000003</v>
      </c>
      <c r="B3102">
        <v>-149.595866</v>
      </c>
      <c r="C3102">
        <v>-17.024252000000001</v>
      </c>
      <c r="D3102">
        <v>175.15199304771801</v>
      </c>
      <c r="E3102">
        <v>30.568799826193001</v>
      </c>
      <c r="F3102">
        <v>10.684799608934201</v>
      </c>
    </row>
    <row r="3103" spans="1:6" x14ac:dyDescent="0.2">
      <c r="A3103">
        <v>736787.64520000003</v>
      </c>
      <c r="B3103">
        <v>-149.595857</v>
      </c>
      <c r="C3103">
        <v>-17.024260999999999</v>
      </c>
      <c r="D3103">
        <v>175.15199304771801</v>
      </c>
      <c r="E3103">
        <v>30.568799826193001</v>
      </c>
      <c r="F3103">
        <v>10.684799608934201</v>
      </c>
    </row>
    <row r="3104" spans="1:6" x14ac:dyDescent="0.2">
      <c r="A3104">
        <v>736787.64529999997</v>
      </c>
      <c r="B3104">
        <v>-149.595855</v>
      </c>
      <c r="C3104">
        <v>-17.024277999999999</v>
      </c>
      <c r="D3104">
        <v>170.380001689794</v>
      </c>
      <c r="E3104">
        <v>30.4</v>
      </c>
      <c r="F3104">
        <v>10.4209601047672</v>
      </c>
    </row>
    <row r="3105" spans="1:6" x14ac:dyDescent="0.2">
      <c r="A3105">
        <v>736787.64529999997</v>
      </c>
      <c r="B3105">
        <v>-149.595857</v>
      </c>
      <c r="C3105">
        <v>-17.024296</v>
      </c>
      <c r="D3105">
        <v>170.380001689794</v>
      </c>
      <c r="E3105">
        <v>30.4</v>
      </c>
      <c r="F3105">
        <v>10.4209601047672</v>
      </c>
    </row>
    <row r="3106" spans="1:6" x14ac:dyDescent="0.2">
      <c r="A3106">
        <v>736787.64529999997</v>
      </c>
      <c r="B3106">
        <v>-149.59585899999999</v>
      </c>
      <c r="C3106">
        <v>-17.024307</v>
      </c>
      <c r="D3106">
        <v>170.380001689794</v>
      </c>
      <c r="E3106">
        <v>30.4</v>
      </c>
      <c r="F3106">
        <v>10.4209601047672</v>
      </c>
    </row>
    <row r="3107" spans="1:6" x14ac:dyDescent="0.2">
      <c r="A3107">
        <v>736787.64529999997</v>
      </c>
      <c r="B3107">
        <v>-149.59585899999999</v>
      </c>
      <c r="C3107">
        <v>-17.024322999999999</v>
      </c>
      <c r="D3107">
        <v>170.380001689794</v>
      </c>
      <c r="E3107">
        <v>30.4</v>
      </c>
      <c r="F3107">
        <v>10.4209601047672</v>
      </c>
    </row>
    <row r="3108" spans="1:6" x14ac:dyDescent="0.2">
      <c r="A3108">
        <v>736787.64529999997</v>
      </c>
      <c r="B3108">
        <v>-149.59585799999999</v>
      </c>
      <c r="C3108">
        <v>-17.024339999999999</v>
      </c>
      <c r="D3108">
        <v>170.380001689794</v>
      </c>
      <c r="E3108">
        <v>30.4</v>
      </c>
      <c r="F3108">
        <v>10.4209601047672</v>
      </c>
    </row>
    <row r="3109" spans="1:6" x14ac:dyDescent="0.2">
      <c r="A3109">
        <v>736787.64529999997</v>
      </c>
      <c r="B3109">
        <v>-149.59586300000001</v>
      </c>
      <c r="C3109">
        <v>-17.024352</v>
      </c>
      <c r="D3109">
        <v>170.380001689794</v>
      </c>
      <c r="E3109">
        <v>30.4</v>
      </c>
      <c r="F3109">
        <v>10.4209601047672</v>
      </c>
    </row>
    <row r="3110" spans="1:6" x14ac:dyDescent="0.2">
      <c r="A3110">
        <v>736787.64540000004</v>
      </c>
      <c r="B3110">
        <v>-149.595867</v>
      </c>
      <c r="C3110">
        <v>-17.024366000000001</v>
      </c>
      <c r="D3110">
        <v>163.5</v>
      </c>
      <c r="E3110">
        <v>30.388799906659202</v>
      </c>
      <c r="F3110">
        <v>10.0111200093341</v>
      </c>
    </row>
    <row r="3111" spans="1:6" x14ac:dyDescent="0.2">
      <c r="A3111">
        <v>736787.64540000004</v>
      </c>
      <c r="B3111">
        <v>-149.595877</v>
      </c>
      <c r="C3111">
        <v>-17.024373000000001</v>
      </c>
      <c r="D3111">
        <v>163.5</v>
      </c>
      <c r="E3111">
        <v>30.388799906659202</v>
      </c>
      <c r="F3111">
        <v>10.0111200093341</v>
      </c>
    </row>
    <row r="3112" spans="1:6" x14ac:dyDescent="0.2">
      <c r="A3112">
        <v>736787.64540000004</v>
      </c>
      <c r="B3112">
        <v>-149.59588400000001</v>
      </c>
      <c r="C3112">
        <v>-17.024383</v>
      </c>
      <c r="D3112">
        <v>163.5</v>
      </c>
      <c r="E3112">
        <v>30.388799906659202</v>
      </c>
      <c r="F3112">
        <v>10.0111200093341</v>
      </c>
    </row>
    <row r="3113" spans="1:6" x14ac:dyDescent="0.2">
      <c r="A3113">
        <v>736787.64540000004</v>
      </c>
      <c r="B3113">
        <v>-149.59589500000001</v>
      </c>
      <c r="C3113">
        <v>-17.024388999999999</v>
      </c>
      <c r="D3113">
        <v>163.5</v>
      </c>
      <c r="E3113">
        <v>30.388799906659202</v>
      </c>
      <c r="F3113">
        <v>10.0111200093341</v>
      </c>
    </row>
    <row r="3114" spans="1:6" x14ac:dyDescent="0.2">
      <c r="A3114">
        <v>736787.64540000004</v>
      </c>
      <c r="B3114">
        <v>-149.595911</v>
      </c>
      <c r="C3114">
        <v>-17.0244</v>
      </c>
      <c r="D3114">
        <v>163.5</v>
      </c>
      <c r="E3114">
        <v>30.388799906659202</v>
      </c>
      <c r="F3114">
        <v>10.0111200093341</v>
      </c>
    </row>
    <row r="3115" spans="1:6" x14ac:dyDescent="0.2">
      <c r="A3115">
        <v>736787.64540000004</v>
      </c>
      <c r="B3115">
        <v>-149.595921</v>
      </c>
      <c r="C3115">
        <v>-17.024405999999999</v>
      </c>
      <c r="D3115">
        <v>163.5</v>
      </c>
      <c r="E3115">
        <v>30.388799906659202</v>
      </c>
      <c r="F3115">
        <v>10.0111200093341</v>
      </c>
    </row>
    <row r="3116" spans="1:6" x14ac:dyDescent="0.2">
      <c r="A3116">
        <v>736787.64549999998</v>
      </c>
      <c r="B3116">
        <v>-149.59593000000001</v>
      </c>
      <c r="C3116">
        <v>-17.02441</v>
      </c>
      <c r="D3116">
        <v>161.232002824364</v>
      </c>
      <c r="E3116">
        <v>30.3</v>
      </c>
      <c r="F3116">
        <v>9.8772001778303498</v>
      </c>
    </row>
    <row r="3117" spans="1:6" x14ac:dyDescent="0.2">
      <c r="A3117">
        <v>736787.64549999998</v>
      </c>
      <c r="B3117">
        <v>-149.59594000000001</v>
      </c>
      <c r="C3117">
        <v>-17.024415000000001</v>
      </c>
      <c r="D3117">
        <v>161.232002824364</v>
      </c>
      <c r="E3117">
        <v>30.3</v>
      </c>
      <c r="F3117">
        <v>9.8772001778303498</v>
      </c>
    </row>
    <row r="3118" spans="1:6" x14ac:dyDescent="0.2">
      <c r="A3118">
        <v>736787.64549999998</v>
      </c>
      <c r="B3118">
        <v>-149.595947</v>
      </c>
      <c r="C3118">
        <v>-17.024429999999999</v>
      </c>
      <c r="D3118">
        <v>161.232002824364</v>
      </c>
      <c r="E3118">
        <v>30.3</v>
      </c>
      <c r="F3118">
        <v>9.8772001778303498</v>
      </c>
    </row>
    <row r="3119" spans="1:6" x14ac:dyDescent="0.2">
      <c r="A3119">
        <v>736787.64549999998</v>
      </c>
      <c r="B3119">
        <v>-149.59595100000001</v>
      </c>
      <c r="C3119">
        <v>-17.024439000000001</v>
      </c>
      <c r="D3119">
        <v>161.232002824364</v>
      </c>
      <c r="E3119">
        <v>30.3</v>
      </c>
      <c r="F3119">
        <v>9.8772001778303498</v>
      </c>
    </row>
    <row r="3120" spans="1:6" x14ac:dyDescent="0.2">
      <c r="A3120">
        <v>736787.64549999998</v>
      </c>
      <c r="B3120">
        <v>-149.595966</v>
      </c>
      <c r="C3120">
        <v>-17.024450000000002</v>
      </c>
      <c r="D3120">
        <v>161.232002824364</v>
      </c>
      <c r="E3120">
        <v>30.3</v>
      </c>
      <c r="F3120">
        <v>9.8772001778303498</v>
      </c>
    </row>
    <row r="3121" spans="1:6" x14ac:dyDescent="0.2">
      <c r="A3121">
        <v>736787.64549999998</v>
      </c>
      <c r="B3121">
        <v>-149.59597299999999</v>
      </c>
      <c r="C3121">
        <v>-17.024457999999999</v>
      </c>
      <c r="D3121">
        <v>161.232002824364</v>
      </c>
      <c r="E3121">
        <v>30.3</v>
      </c>
      <c r="F3121">
        <v>9.8772001778303498</v>
      </c>
    </row>
    <row r="3122" spans="1:6" x14ac:dyDescent="0.2">
      <c r="A3122">
        <v>736787.64549999998</v>
      </c>
      <c r="B3122">
        <v>-149.59598500000001</v>
      </c>
      <c r="C3122">
        <v>-17.024463000000001</v>
      </c>
      <c r="D3122">
        <v>161.232002824364</v>
      </c>
      <c r="E3122">
        <v>30.3</v>
      </c>
      <c r="F3122">
        <v>9.8772001778303498</v>
      </c>
    </row>
    <row r="3123" spans="1:6" x14ac:dyDescent="0.2">
      <c r="A3123">
        <v>736787.64549999998</v>
      </c>
      <c r="B3123">
        <v>-149.595992</v>
      </c>
      <c r="C3123">
        <v>-17.024470000000001</v>
      </c>
      <c r="D3123">
        <v>161.232002824364</v>
      </c>
      <c r="E3123">
        <v>30.3</v>
      </c>
      <c r="F3123">
        <v>9.8772001778303498</v>
      </c>
    </row>
    <row r="3124" spans="1:6" x14ac:dyDescent="0.2">
      <c r="A3124">
        <v>736787.64560000005</v>
      </c>
      <c r="B3124">
        <v>-149.596002</v>
      </c>
      <c r="C3124">
        <v>-17.024476</v>
      </c>
      <c r="D3124">
        <v>158.9</v>
      </c>
      <c r="E3124">
        <v>30.2</v>
      </c>
      <c r="F3124">
        <v>9.7456800099778107</v>
      </c>
    </row>
    <row r="3125" spans="1:6" x14ac:dyDescent="0.2">
      <c r="A3125">
        <v>736787.64560000005</v>
      </c>
      <c r="B3125">
        <v>-149.59601599999999</v>
      </c>
      <c r="C3125">
        <v>-17.024484999999999</v>
      </c>
      <c r="D3125">
        <v>158.9</v>
      </c>
      <c r="E3125">
        <v>30.2</v>
      </c>
      <c r="F3125">
        <v>9.7456800099778107</v>
      </c>
    </row>
    <row r="3126" spans="1:6" x14ac:dyDescent="0.2">
      <c r="A3126">
        <v>736787.64560000005</v>
      </c>
      <c r="B3126">
        <v>-149.596023</v>
      </c>
      <c r="C3126">
        <v>-17.024493</v>
      </c>
      <c r="D3126">
        <v>158.9</v>
      </c>
      <c r="E3126">
        <v>30.2</v>
      </c>
      <c r="F3126">
        <v>9.7456800099778107</v>
      </c>
    </row>
    <row r="3127" spans="1:6" x14ac:dyDescent="0.2">
      <c r="A3127">
        <v>736787.64560000005</v>
      </c>
      <c r="B3127">
        <v>-149.596035</v>
      </c>
      <c r="C3127">
        <v>-17.024498000000001</v>
      </c>
      <c r="D3127">
        <v>158.9</v>
      </c>
      <c r="E3127">
        <v>30.2</v>
      </c>
      <c r="F3127">
        <v>9.7456800099778107</v>
      </c>
    </row>
    <row r="3128" spans="1:6" x14ac:dyDescent="0.2">
      <c r="A3128">
        <v>736787.64560000005</v>
      </c>
      <c r="B3128">
        <v>-149.59605099999999</v>
      </c>
      <c r="C3128">
        <v>-17.024505000000001</v>
      </c>
      <c r="D3128">
        <v>158.9</v>
      </c>
      <c r="E3128">
        <v>30.2</v>
      </c>
      <c r="F3128">
        <v>9.7456800099778107</v>
      </c>
    </row>
    <row r="3129" spans="1:6" x14ac:dyDescent="0.2">
      <c r="A3129">
        <v>736787.64560000005</v>
      </c>
      <c r="B3129">
        <v>-149.596059</v>
      </c>
      <c r="C3129">
        <v>-17.024512999999999</v>
      </c>
      <c r="D3129">
        <v>158.9</v>
      </c>
      <c r="E3129">
        <v>30.2</v>
      </c>
      <c r="F3129">
        <v>9.7456800099778107</v>
      </c>
    </row>
    <row r="3130" spans="1:6" x14ac:dyDescent="0.2">
      <c r="A3130">
        <v>736787.64560000005</v>
      </c>
      <c r="B3130">
        <v>-149.596069</v>
      </c>
      <c r="C3130">
        <v>-17.024516999999999</v>
      </c>
      <c r="D3130">
        <v>158.9</v>
      </c>
      <c r="E3130">
        <v>30.2</v>
      </c>
      <c r="F3130">
        <v>9.7456800099778107</v>
      </c>
    </row>
    <row r="3131" spans="1:6" x14ac:dyDescent="0.2">
      <c r="A3131">
        <v>736787.64560000005</v>
      </c>
      <c r="B3131">
        <v>-149.59608</v>
      </c>
      <c r="C3131">
        <v>-17.024526000000002</v>
      </c>
      <c r="D3131">
        <v>158.9</v>
      </c>
      <c r="E3131">
        <v>30.2</v>
      </c>
      <c r="F3131">
        <v>9.7456800099778107</v>
      </c>
    </row>
    <row r="3132" spans="1:6" x14ac:dyDescent="0.2">
      <c r="A3132">
        <v>736787.64560000005</v>
      </c>
      <c r="B3132">
        <v>-149.59608499999999</v>
      </c>
      <c r="C3132">
        <v>-17.024536000000001</v>
      </c>
      <c r="D3132">
        <v>158.9</v>
      </c>
      <c r="E3132">
        <v>30.2</v>
      </c>
      <c r="F3132">
        <v>9.7456800099778107</v>
      </c>
    </row>
    <row r="3133" spans="1:6" x14ac:dyDescent="0.2">
      <c r="A3133">
        <v>736787.64569999999</v>
      </c>
      <c r="B3133">
        <v>-149.59610000000001</v>
      </c>
      <c r="C3133">
        <v>-17.024550000000001</v>
      </c>
      <c r="D3133">
        <v>157.863200308991</v>
      </c>
      <c r="E3133">
        <v>30.2</v>
      </c>
      <c r="F3133">
        <v>9.6852000193119299</v>
      </c>
    </row>
    <row r="3134" spans="1:6" x14ac:dyDescent="0.2">
      <c r="A3134">
        <v>736787.64569999999</v>
      </c>
      <c r="B3134">
        <v>-149.59610699999999</v>
      </c>
      <c r="C3134">
        <v>-17.024566</v>
      </c>
      <c r="D3134">
        <v>157.863200308991</v>
      </c>
      <c r="E3134">
        <v>30.2</v>
      </c>
      <c r="F3134">
        <v>9.6852000193119299</v>
      </c>
    </row>
    <row r="3135" spans="1:6" x14ac:dyDescent="0.2">
      <c r="A3135">
        <v>736787.64569999999</v>
      </c>
      <c r="B3135">
        <v>-149.59610900000001</v>
      </c>
      <c r="C3135">
        <v>-17.024576</v>
      </c>
      <c r="D3135">
        <v>157.863200308991</v>
      </c>
      <c r="E3135">
        <v>30.2</v>
      </c>
      <c r="F3135">
        <v>9.6852000193119299</v>
      </c>
    </row>
    <row r="3136" spans="1:6" x14ac:dyDescent="0.2">
      <c r="A3136">
        <v>736787.64569999999</v>
      </c>
      <c r="B3136">
        <v>-149.59611200000001</v>
      </c>
      <c r="C3136">
        <v>-17.02459</v>
      </c>
      <c r="D3136">
        <v>157.863200308991</v>
      </c>
      <c r="E3136">
        <v>30.2</v>
      </c>
      <c r="F3136">
        <v>9.6852000193119299</v>
      </c>
    </row>
    <row r="3137" spans="1:6" x14ac:dyDescent="0.2">
      <c r="A3137">
        <v>736787.64569999999</v>
      </c>
      <c r="B3137">
        <v>-149.59611799999999</v>
      </c>
      <c r="C3137">
        <v>-17.0246</v>
      </c>
      <c r="D3137">
        <v>157.863200308991</v>
      </c>
      <c r="E3137">
        <v>30.2</v>
      </c>
      <c r="F3137">
        <v>9.6852000193119299</v>
      </c>
    </row>
    <row r="3138" spans="1:6" x14ac:dyDescent="0.2">
      <c r="A3138">
        <v>736787.64580000006</v>
      </c>
      <c r="B3138">
        <v>-149.596136</v>
      </c>
      <c r="C3138">
        <v>-17.024602000000002</v>
      </c>
      <c r="D3138">
        <v>156.5</v>
      </c>
      <c r="E3138">
        <v>30.2</v>
      </c>
      <c r="F3138">
        <v>9.61</v>
      </c>
    </row>
    <row r="3139" spans="1:6" x14ac:dyDescent="0.2">
      <c r="A3139">
        <v>736787.64580000006</v>
      </c>
      <c r="B3139">
        <v>-149.596146</v>
      </c>
      <c r="C3139">
        <v>-17.024604</v>
      </c>
      <c r="D3139">
        <v>156.5</v>
      </c>
      <c r="E3139">
        <v>30.2</v>
      </c>
      <c r="F3139">
        <v>9.61</v>
      </c>
    </row>
    <row r="3140" spans="1:6" x14ac:dyDescent="0.2">
      <c r="A3140">
        <v>736787.64580000006</v>
      </c>
      <c r="B3140">
        <v>-149.596161</v>
      </c>
      <c r="C3140">
        <v>-17.024601000000001</v>
      </c>
      <c r="D3140">
        <v>156.5</v>
      </c>
      <c r="E3140">
        <v>30.2</v>
      </c>
      <c r="F3140">
        <v>9.61</v>
      </c>
    </row>
    <row r="3141" spans="1:6" x14ac:dyDescent="0.2">
      <c r="A3141">
        <v>736787.64580000006</v>
      </c>
      <c r="B3141">
        <v>-149.59617399999999</v>
      </c>
      <c r="C3141">
        <v>-17.024598000000001</v>
      </c>
      <c r="D3141">
        <v>156.5</v>
      </c>
      <c r="E3141">
        <v>30.2</v>
      </c>
      <c r="F3141">
        <v>9.61</v>
      </c>
    </row>
    <row r="3142" spans="1:6" x14ac:dyDescent="0.2">
      <c r="A3142">
        <v>736787.64580000006</v>
      </c>
      <c r="B3142">
        <v>-149.59618399999999</v>
      </c>
      <c r="C3142">
        <v>-17.024594</v>
      </c>
      <c r="D3142">
        <v>156.5</v>
      </c>
      <c r="E3142">
        <v>30.2</v>
      </c>
      <c r="F3142">
        <v>9.61</v>
      </c>
    </row>
    <row r="3143" spans="1:6" x14ac:dyDescent="0.2">
      <c r="A3143">
        <v>736787.64580000006</v>
      </c>
      <c r="B3143">
        <v>-149.596193</v>
      </c>
      <c r="C3143">
        <v>-17.024588999999999</v>
      </c>
      <c r="D3143">
        <v>156.5</v>
      </c>
      <c r="E3143">
        <v>30.2</v>
      </c>
      <c r="F3143">
        <v>9.61</v>
      </c>
    </row>
    <row r="3144" spans="1:6" x14ac:dyDescent="0.2">
      <c r="A3144">
        <v>736787.64580000006</v>
      </c>
      <c r="B3144">
        <v>-149.59621200000001</v>
      </c>
      <c r="C3144">
        <v>-17.024594</v>
      </c>
      <c r="D3144">
        <v>156.5</v>
      </c>
      <c r="E3144">
        <v>30.2</v>
      </c>
      <c r="F3144">
        <v>9.61</v>
      </c>
    </row>
    <row r="3145" spans="1:6" x14ac:dyDescent="0.2">
      <c r="A3145">
        <v>736787.6459</v>
      </c>
      <c r="B3145">
        <v>-149.59622100000001</v>
      </c>
      <c r="C3145">
        <v>-17.024597</v>
      </c>
      <c r="D3145">
        <v>156.42479994045499</v>
      </c>
      <c r="E3145">
        <v>30.2</v>
      </c>
      <c r="F3145">
        <v>9.6024799940454901</v>
      </c>
    </row>
    <row r="3146" spans="1:6" x14ac:dyDescent="0.2">
      <c r="A3146">
        <v>736787.6459</v>
      </c>
      <c r="B3146">
        <v>-149.59623400000001</v>
      </c>
      <c r="C3146">
        <v>-17.024605999999999</v>
      </c>
      <c r="D3146">
        <v>156.42479994045499</v>
      </c>
      <c r="E3146">
        <v>30.2</v>
      </c>
      <c r="F3146">
        <v>9.6024799940454901</v>
      </c>
    </row>
    <row r="3147" spans="1:6" x14ac:dyDescent="0.2">
      <c r="A3147">
        <v>736787.6459</v>
      </c>
      <c r="B3147">
        <v>-149.59623999999999</v>
      </c>
      <c r="C3147">
        <v>-17.024614</v>
      </c>
      <c r="D3147">
        <v>156.42479994045499</v>
      </c>
      <c r="E3147">
        <v>30.2</v>
      </c>
      <c r="F3147">
        <v>9.6024799940454901</v>
      </c>
    </row>
    <row r="3148" spans="1:6" x14ac:dyDescent="0.2">
      <c r="A3148">
        <v>736787.6459</v>
      </c>
      <c r="B3148">
        <v>-149.59624700000001</v>
      </c>
      <c r="C3148">
        <v>-17.024621</v>
      </c>
      <c r="D3148">
        <v>156.42479994045499</v>
      </c>
      <c r="E3148">
        <v>30.2</v>
      </c>
      <c r="F3148">
        <v>9.6024799940454901</v>
      </c>
    </row>
    <row r="3149" spans="1:6" x14ac:dyDescent="0.2">
      <c r="A3149">
        <v>736787.6459</v>
      </c>
      <c r="B3149">
        <v>-149.59625600000001</v>
      </c>
      <c r="C3149">
        <v>-17.024629000000001</v>
      </c>
      <c r="D3149">
        <v>156.42479994045499</v>
      </c>
      <c r="E3149">
        <v>30.2</v>
      </c>
      <c r="F3149">
        <v>9.6024799940454901</v>
      </c>
    </row>
    <row r="3150" spans="1:6" x14ac:dyDescent="0.2">
      <c r="A3150">
        <v>736787.6459</v>
      </c>
      <c r="B3150">
        <v>-149.59626600000001</v>
      </c>
      <c r="C3150">
        <v>-17.024635</v>
      </c>
      <c r="D3150">
        <v>156.42479994045499</v>
      </c>
      <c r="E3150">
        <v>30.2</v>
      </c>
      <c r="F3150">
        <v>9.6024799940454901</v>
      </c>
    </row>
    <row r="3151" spans="1:6" x14ac:dyDescent="0.2">
      <c r="A3151">
        <v>736787.6459</v>
      </c>
      <c r="B3151">
        <v>-149.59627499999999</v>
      </c>
      <c r="C3151">
        <v>-17.024643000000001</v>
      </c>
      <c r="D3151">
        <v>156.42479994045499</v>
      </c>
      <c r="E3151">
        <v>30.2</v>
      </c>
      <c r="F3151">
        <v>9.6024799940454901</v>
      </c>
    </row>
    <row r="3152" spans="1:6" x14ac:dyDescent="0.2">
      <c r="A3152">
        <v>736787.64599999995</v>
      </c>
      <c r="B3152">
        <v>-149.59628599999999</v>
      </c>
      <c r="C3152">
        <v>-17.024650999999999</v>
      </c>
      <c r="D3152">
        <v>155.9</v>
      </c>
      <c r="E3152">
        <v>30.2</v>
      </c>
      <c r="F3152">
        <v>9.57</v>
      </c>
    </row>
    <row r="3153" spans="1:6" x14ac:dyDescent="0.2">
      <c r="A3153">
        <v>736787.64599999995</v>
      </c>
      <c r="B3153">
        <v>-149.596295</v>
      </c>
      <c r="C3153">
        <v>-17.024656</v>
      </c>
      <c r="D3153">
        <v>155.9</v>
      </c>
      <c r="E3153">
        <v>30.2</v>
      </c>
      <c r="F3153">
        <v>9.57</v>
      </c>
    </row>
    <row r="3154" spans="1:6" x14ac:dyDescent="0.2">
      <c r="A3154">
        <v>736787.64599999995</v>
      </c>
      <c r="B3154">
        <v>-149.59631200000001</v>
      </c>
      <c r="C3154">
        <v>-17.024660000000001</v>
      </c>
      <c r="D3154">
        <v>155.9</v>
      </c>
      <c r="E3154">
        <v>30.2</v>
      </c>
      <c r="F3154">
        <v>9.57</v>
      </c>
    </row>
    <row r="3155" spans="1:6" x14ac:dyDescent="0.2">
      <c r="A3155">
        <v>736787.64599999995</v>
      </c>
      <c r="B3155">
        <v>-149.596326</v>
      </c>
      <c r="C3155">
        <v>-17.024661999999999</v>
      </c>
      <c r="D3155">
        <v>155.9</v>
      </c>
      <c r="E3155">
        <v>30.2</v>
      </c>
      <c r="F3155">
        <v>9.57</v>
      </c>
    </row>
    <row r="3156" spans="1:6" x14ac:dyDescent="0.2">
      <c r="A3156">
        <v>736787.64599999995</v>
      </c>
      <c r="B3156">
        <v>-149.59633700000001</v>
      </c>
      <c r="C3156">
        <v>-17.024664000000001</v>
      </c>
      <c r="D3156">
        <v>155.9</v>
      </c>
      <c r="E3156">
        <v>30.2</v>
      </c>
      <c r="F3156">
        <v>9.57</v>
      </c>
    </row>
    <row r="3157" spans="1:6" x14ac:dyDescent="0.2">
      <c r="A3157">
        <v>736787.64599999995</v>
      </c>
      <c r="B3157">
        <v>-149.59634700000001</v>
      </c>
      <c r="C3157">
        <v>-17.024667000000001</v>
      </c>
      <c r="D3157">
        <v>155.9</v>
      </c>
      <c r="E3157">
        <v>30.2</v>
      </c>
      <c r="F3157">
        <v>9.57</v>
      </c>
    </row>
    <row r="3158" spans="1:6" x14ac:dyDescent="0.2">
      <c r="A3158">
        <v>736787.64610000001</v>
      </c>
      <c r="B3158">
        <v>-149.59636499999999</v>
      </c>
      <c r="C3158">
        <v>-17.02467</v>
      </c>
      <c r="D3158">
        <v>155.853599261319</v>
      </c>
      <c r="E3158">
        <v>30.2</v>
      </c>
      <c r="F3158">
        <v>9.5707999565481501</v>
      </c>
    </row>
    <row r="3159" spans="1:6" x14ac:dyDescent="0.2">
      <c r="A3159">
        <v>736787.64610000001</v>
      </c>
      <c r="B3159">
        <v>-149.596383</v>
      </c>
      <c r="C3159">
        <v>-17.024678000000002</v>
      </c>
      <c r="D3159">
        <v>155.853599261319</v>
      </c>
      <c r="E3159">
        <v>30.2</v>
      </c>
      <c r="F3159">
        <v>9.5707999565481501</v>
      </c>
    </row>
    <row r="3160" spans="1:6" x14ac:dyDescent="0.2">
      <c r="A3160">
        <v>736787.64610000001</v>
      </c>
      <c r="B3160">
        <v>-149.596394</v>
      </c>
      <c r="C3160">
        <v>-17.024684000000001</v>
      </c>
      <c r="D3160">
        <v>155.853599261319</v>
      </c>
      <c r="E3160">
        <v>30.2</v>
      </c>
      <c r="F3160">
        <v>9.5707999565481501</v>
      </c>
    </row>
    <row r="3161" spans="1:6" x14ac:dyDescent="0.2">
      <c r="A3161">
        <v>736787.64610000001</v>
      </c>
      <c r="B3161">
        <v>-149.59640200000001</v>
      </c>
      <c r="C3161">
        <v>-17.02469</v>
      </c>
      <c r="D3161">
        <v>155.853599261319</v>
      </c>
      <c r="E3161">
        <v>30.2</v>
      </c>
      <c r="F3161">
        <v>9.5707999565481501</v>
      </c>
    </row>
    <row r="3162" spans="1:6" x14ac:dyDescent="0.2">
      <c r="A3162">
        <v>736787.64610000001</v>
      </c>
      <c r="B3162">
        <v>-149.59642500000001</v>
      </c>
      <c r="C3162">
        <v>-17.024697</v>
      </c>
      <c r="D3162">
        <v>155.853599261319</v>
      </c>
      <c r="E3162">
        <v>30.2</v>
      </c>
      <c r="F3162">
        <v>9.5707999565481501</v>
      </c>
    </row>
    <row r="3163" spans="1:6" x14ac:dyDescent="0.2">
      <c r="A3163">
        <v>736787.64610000001</v>
      </c>
      <c r="B3163">
        <v>-149.59643500000001</v>
      </c>
      <c r="C3163">
        <v>-17.024702999999999</v>
      </c>
      <c r="D3163">
        <v>155.853599261319</v>
      </c>
      <c r="E3163">
        <v>30.2</v>
      </c>
      <c r="F3163">
        <v>9.5707999565481501</v>
      </c>
    </row>
    <row r="3164" spans="1:6" x14ac:dyDescent="0.2">
      <c r="A3164">
        <v>736787.64610000001</v>
      </c>
      <c r="B3164">
        <v>-149.59644800000001</v>
      </c>
      <c r="C3164">
        <v>-17.024708</v>
      </c>
      <c r="D3164">
        <v>155.853599261319</v>
      </c>
      <c r="E3164">
        <v>30.2</v>
      </c>
      <c r="F3164">
        <v>9.5707999565481501</v>
      </c>
    </row>
    <row r="3165" spans="1:6" x14ac:dyDescent="0.2">
      <c r="A3165">
        <v>736787.64619999996</v>
      </c>
      <c r="B3165">
        <v>-149.59645900000001</v>
      </c>
      <c r="C3165">
        <v>-17.024712999999998</v>
      </c>
      <c r="D3165">
        <v>157.19999999999999</v>
      </c>
      <c r="E3165">
        <v>30.293599917924499</v>
      </c>
      <c r="F3165">
        <v>9.6406400082075496</v>
      </c>
    </row>
    <row r="3166" spans="1:6" x14ac:dyDescent="0.2">
      <c r="A3166">
        <v>736787.64619999996</v>
      </c>
      <c r="B3166">
        <v>-149.59647000000001</v>
      </c>
      <c r="C3166">
        <v>-17.024719000000001</v>
      </c>
      <c r="D3166">
        <v>157.19999999999999</v>
      </c>
      <c r="E3166">
        <v>30.293599917924499</v>
      </c>
      <c r="F3166">
        <v>9.6406400082075496</v>
      </c>
    </row>
    <row r="3167" spans="1:6" x14ac:dyDescent="0.2">
      <c r="A3167">
        <v>736787.64619999996</v>
      </c>
      <c r="B3167">
        <v>-149.59648300000001</v>
      </c>
      <c r="C3167">
        <v>-17.024729000000001</v>
      </c>
      <c r="D3167">
        <v>157.19999999999999</v>
      </c>
      <c r="E3167">
        <v>30.293599917924499</v>
      </c>
      <c r="F3167">
        <v>9.6406400082075496</v>
      </c>
    </row>
    <row r="3168" spans="1:6" x14ac:dyDescent="0.2">
      <c r="A3168">
        <v>736787.64619999996</v>
      </c>
      <c r="B3168">
        <v>-149.596495</v>
      </c>
      <c r="C3168">
        <v>-17.024739</v>
      </c>
      <c r="D3168">
        <v>157.19999999999999</v>
      </c>
      <c r="E3168">
        <v>30.293599917924499</v>
      </c>
      <c r="F3168">
        <v>9.6406400082075496</v>
      </c>
    </row>
    <row r="3169" spans="1:6" x14ac:dyDescent="0.2">
      <c r="A3169">
        <v>736787.64619999996</v>
      </c>
      <c r="B3169">
        <v>-149.596509</v>
      </c>
      <c r="C3169">
        <v>-17.024747000000001</v>
      </c>
      <c r="D3169">
        <v>157.19999999999999</v>
      </c>
      <c r="E3169">
        <v>30.293599917924499</v>
      </c>
      <c r="F3169">
        <v>9.6406400082075496</v>
      </c>
    </row>
    <row r="3170" spans="1:6" x14ac:dyDescent="0.2">
      <c r="A3170">
        <v>736787.64619999996</v>
      </c>
      <c r="B3170">
        <v>-149.596519</v>
      </c>
      <c r="C3170">
        <v>-17.024757000000001</v>
      </c>
      <c r="D3170">
        <v>157.19999999999999</v>
      </c>
      <c r="E3170">
        <v>30.293599917924499</v>
      </c>
      <c r="F3170">
        <v>9.6406400082075496</v>
      </c>
    </row>
    <row r="3171" spans="1:6" x14ac:dyDescent="0.2">
      <c r="A3171">
        <v>736787.64619999996</v>
      </c>
      <c r="B3171">
        <v>-149.59653599999999</v>
      </c>
      <c r="C3171">
        <v>-17.024768000000002</v>
      </c>
      <c r="D3171">
        <v>157.19999999999999</v>
      </c>
      <c r="E3171">
        <v>30.293599917924499</v>
      </c>
      <c r="F3171">
        <v>9.6406400082075496</v>
      </c>
    </row>
    <row r="3172" spans="1:6" x14ac:dyDescent="0.2">
      <c r="A3172">
        <v>736787.64630000002</v>
      </c>
      <c r="B3172">
        <v>-149.59654399999999</v>
      </c>
      <c r="C3172">
        <v>-17.024773</v>
      </c>
      <c r="D3172">
        <v>159.92960076604001</v>
      </c>
      <c r="E3172">
        <v>30.3</v>
      </c>
      <c r="F3172">
        <v>9.8031200437737098</v>
      </c>
    </row>
    <row r="3173" spans="1:6" x14ac:dyDescent="0.2">
      <c r="A3173">
        <v>736787.64630000002</v>
      </c>
      <c r="B3173">
        <v>-149.596555</v>
      </c>
      <c r="C3173">
        <v>-17.024778000000001</v>
      </c>
      <c r="D3173">
        <v>159.92960076604001</v>
      </c>
      <c r="E3173">
        <v>30.3</v>
      </c>
      <c r="F3173">
        <v>9.8031200437737098</v>
      </c>
    </row>
    <row r="3174" spans="1:6" x14ac:dyDescent="0.2">
      <c r="A3174">
        <v>736787.64630000002</v>
      </c>
      <c r="B3174">
        <v>-149.59656899999999</v>
      </c>
      <c r="C3174">
        <v>-17.024781999999998</v>
      </c>
      <c r="D3174">
        <v>159.92960076604001</v>
      </c>
      <c r="E3174">
        <v>30.3</v>
      </c>
      <c r="F3174">
        <v>9.8031200437737098</v>
      </c>
    </row>
    <row r="3175" spans="1:6" x14ac:dyDescent="0.2">
      <c r="A3175">
        <v>736787.64630000002</v>
      </c>
      <c r="B3175">
        <v>-149.59657799999999</v>
      </c>
      <c r="C3175">
        <v>-17.024789999999999</v>
      </c>
      <c r="D3175">
        <v>159.92960076604001</v>
      </c>
      <c r="E3175">
        <v>30.3</v>
      </c>
      <c r="F3175">
        <v>9.8031200437737098</v>
      </c>
    </row>
    <row r="3176" spans="1:6" x14ac:dyDescent="0.2">
      <c r="A3176">
        <v>736787.64630000002</v>
      </c>
      <c r="B3176">
        <v>-149.596587</v>
      </c>
      <c r="C3176">
        <v>-17.024795999999998</v>
      </c>
      <c r="D3176">
        <v>159.92960076604001</v>
      </c>
      <c r="E3176">
        <v>30.3</v>
      </c>
      <c r="F3176">
        <v>9.8031200437737098</v>
      </c>
    </row>
    <row r="3177" spans="1:6" x14ac:dyDescent="0.2">
      <c r="A3177">
        <v>736787.64630000002</v>
      </c>
      <c r="B3177">
        <v>-149.596597</v>
      </c>
      <c r="C3177">
        <v>-17.024799999999999</v>
      </c>
      <c r="D3177">
        <v>159.92960076604001</v>
      </c>
      <c r="E3177">
        <v>30.3</v>
      </c>
      <c r="F3177">
        <v>9.8031200437737098</v>
      </c>
    </row>
    <row r="3178" spans="1:6" x14ac:dyDescent="0.2">
      <c r="A3178">
        <v>736787.64630000002</v>
      </c>
      <c r="B3178">
        <v>-149.59660500000001</v>
      </c>
      <c r="C3178">
        <v>-17.024809999999999</v>
      </c>
      <c r="D3178">
        <v>159.92960076604001</v>
      </c>
      <c r="E3178">
        <v>30.3</v>
      </c>
      <c r="F3178">
        <v>9.8031200437737098</v>
      </c>
    </row>
    <row r="3179" spans="1:6" x14ac:dyDescent="0.2">
      <c r="A3179">
        <v>736787.64630000002</v>
      </c>
      <c r="B3179">
        <v>-149.59661700000001</v>
      </c>
      <c r="C3179">
        <v>-17.024816999999999</v>
      </c>
      <c r="D3179">
        <v>159.92960076604001</v>
      </c>
      <c r="E3179">
        <v>30.3</v>
      </c>
      <c r="F3179">
        <v>9.8031200437737098</v>
      </c>
    </row>
    <row r="3180" spans="1:6" x14ac:dyDescent="0.2">
      <c r="A3180">
        <v>736787.64630000002</v>
      </c>
      <c r="B3180">
        <v>-149.59663399999999</v>
      </c>
      <c r="C3180">
        <v>-17.024819999999998</v>
      </c>
      <c r="D3180">
        <v>159.92960076604001</v>
      </c>
      <c r="E3180">
        <v>30.3</v>
      </c>
      <c r="F3180">
        <v>9.8031200437737098</v>
      </c>
    </row>
    <row r="3181" spans="1:6" x14ac:dyDescent="0.2">
      <c r="A3181">
        <v>736787.64639999997</v>
      </c>
      <c r="B3181">
        <v>-149.59665000000001</v>
      </c>
      <c r="C3181">
        <v>-17.024826999999998</v>
      </c>
      <c r="D3181">
        <v>160.75279931925601</v>
      </c>
      <c r="E3181">
        <v>30.3</v>
      </c>
      <c r="F3181">
        <v>9.8495999621808803</v>
      </c>
    </row>
    <row r="3182" spans="1:6" x14ac:dyDescent="0.2">
      <c r="A3182">
        <v>736787.64639999997</v>
      </c>
      <c r="B3182">
        <v>-149.59665899999999</v>
      </c>
      <c r="C3182">
        <v>-17.024834999999999</v>
      </c>
      <c r="D3182">
        <v>160.75279931925601</v>
      </c>
      <c r="E3182">
        <v>30.3</v>
      </c>
      <c r="F3182">
        <v>9.8495999621808803</v>
      </c>
    </row>
    <row r="3183" spans="1:6" x14ac:dyDescent="0.2">
      <c r="A3183">
        <v>736787.64639999997</v>
      </c>
      <c r="B3183">
        <v>-149.59666899999999</v>
      </c>
      <c r="C3183">
        <v>-17.024840000000001</v>
      </c>
      <c r="D3183">
        <v>160.75279931925601</v>
      </c>
      <c r="E3183">
        <v>30.3</v>
      </c>
      <c r="F3183">
        <v>9.8495999621808803</v>
      </c>
    </row>
    <row r="3184" spans="1:6" x14ac:dyDescent="0.2">
      <c r="A3184">
        <v>736787.64639999997</v>
      </c>
      <c r="B3184">
        <v>-149.59668199999999</v>
      </c>
      <c r="C3184">
        <v>-17.024850000000001</v>
      </c>
      <c r="D3184">
        <v>160.75279931925601</v>
      </c>
      <c r="E3184">
        <v>30.3</v>
      </c>
      <c r="F3184">
        <v>9.8495999621808803</v>
      </c>
    </row>
    <row r="3185" spans="1:6" x14ac:dyDescent="0.2">
      <c r="A3185">
        <v>736787.64639999997</v>
      </c>
      <c r="B3185">
        <v>-149.596688</v>
      </c>
      <c r="C3185">
        <v>-17.024857999999998</v>
      </c>
      <c r="D3185">
        <v>160.75279931925601</v>
      </c>
      <c r="E3185">
        <v>30.3</v>
      </c>
      <c r="F3185">
        <v>9.8495999621808803</v>
      </c>
    </row>
    <row r="3186" spans="1:6" x14ac:dyDescent="0.2">
      <c r="A3186">
        <v>736787.64639999997</v>
      </c>
      <c r="B3186">
        <v>-149.59669500000001</v>
      </c>
      <c r="C3186">
        <v>-17.024868000000001</v>
      </c>
      <c r="D3186">
        <v>160.75279931925601</v>
      </c>
      <c r="E3186">
        <v>30.3</v>
      </c>
      <c r="F3186">
        <v>9.8495999621808803</v>
      </c>
    </row>
    <row r="3187" spans="1:6" x14ac:dyDescent="0.2">
      <c r="A3187">
        <v>736787.64639999997</v>
      </c>
      <c r="B3187">
        <v>-149.59670399999999</v>
      </c>
      <c r="C3187">
        <v>-17.024875000000002</v>
      </c>
      <c r="D3187">
        <v>160.75279931925601</v>
      </c>
      <c r="E3187">
        <v>30.3</v>
      </c>
      <c r="F3187">
        <v>9.8495999621808803</v>
      </c>
    </row>
    <row r="3188" spans="1:6" x14ac:dyDescent="0.2">
      <c r="A3188">
        <v>736787.64639999997</v>
      </c>
      <c r="B3188">
        <v>-149.59671599999999</v>
      </c>
      <c r="C3188">
        <v>-17.024882999999999</v>
      </c>
      <c r="D3188">
        <v>160.75279931925601</v>
      </c>
      <c r="E3188">
        <v>30.3</v>
      </c>
      <c r="F3188">
        <v>9.8495999621808803</v>
      </c>
    </row>
    <row r="3189" spans="1:6" x14ac:dyDescent="0.2">
      <c r="A3189">
        <v>736787.64639999997</v>
      </c>
      <c r="B3189">
        <v>-149.59672599999999</v>
      </c>
      <c r="C3189">
        <v>-17.024894</v>
      </c>
      <c r="D3189">
        <v>160.75279931925601</v>
      </c>
      <c r="E3189">
        <v>30.3</v>
      </c>
      <c r="F3189">
        <v>9.8495999621808803</v>
      </c>
    </row>
    <row r="3190" spans="1:6" x14ac:dyDescent="0.2">
      <c r="A3190">
        <v>736787.64650000003</v>
      </c>
      <c r="B3190">
        <v>-149.596734</v>
      </c>
      <c r="C3190">
        <v>-17.024902000000001</v>
      </c>
      <c r="D3190">
        <v>161.30000000000001</v>
      </c>
      <c r="E3190">
        <v>30.287999871254002</v>
      </c>
      <c r="F3190">
        <v>9.8912000128746005</v>
      </c>
    </row>
    <row r="3191" spans="1:6" x14ac:dyDescent="0.2">
      <c r="A3191">
        <v>736787.64650000003</v>
      </c>
      <c r="B3191">
        <v>-149.596743</v>
      </c>
      <c r="C3191">
        <v>-17.024908</v>
      </c>
      <c r="D3191">
        <v>161.30000000000001</v>
      </c>
      <c r="E3191">
        <v>30.287999871254002</v>
      </c>
      <c r="F3191">
        <v>9.8912000128746005</v>
      </c>
    </row>
    <row r="3192" spans="1:6" x14ac:dyDescent="0.2">
      <c r="A3192">
        <v>736787.64650000003</v>
      </c>
      <c r="B3192">
        <v>-149.59675300000001</v>
      </c>
      <c r="C3192">
        <v>-17.024916000000001</v>
      </c>
      <c r="D3192">
        <v>161.30000000000001</v>
      </c>
      <c r="E3192">
        <v>30.287999871254002</v>
      </c>
      <c r="F3192">
        <v>9.8912000128746005</v>
      </c>
    </row>
    <row r="3193" spans="1:6" x14ac:dyDescent="0.2">
      <c r="A3193">
        <v>736787.64650000003</v>
      </c>
      <c r="B3193">
        <v>-149.59676300000001</v>
      </c>
      <c r="C3193">
        <v>-17.024920999999999</v>
      </c>
      <c r="D3193">
        <v>161.30000000000001</v>
      </c>
      <c r="E3193">
        <v>30.287999871254002</v>
      </c>
      <c r="F3193">
        <v>9.8912000128746005</v>
      </c>
    </row>
    <row r="3194" spans="1:6" x14ac:dyDescent="0.2">
      <c r="A3194">
        <v>736787.64650000003</v>
      </c>
      <c r="B3194">
        <v>-149.59676999999999</v>
      </c>
      <c r="C3194">
        <v>-17.024932</v>
      </c>
      <c r="D3194">
        <v>161.30000000000001</v>
      </c>
      <c r="E3194">
        <v>30.287999871254002</v>
      </c>
      <c r="F3194">
        <v>9.8912000128746005</v>
      </c>
    </row>
    <row r="3195" spans="1:6" x14ac:dyDescent="0.2">
      <c r="A3195">
        <v>736787.64650000003</v>
      </c>
      <c r="B3195">
        <v>-149.59677400000001</v>
      </c>
      <c r="C3195">
        <v>-17.024940000000001</v>
      </c>
      <c r="D3195">
        <v>161.30000000000001</v>
      </c>
      <c r="E3195">
        <v>30.287999871254002</v>
      </c>
      <c r="F3195">
        <v>9.8912000128746005</v>
      </c>
    </row>
    <row r="3196" spans="1:6" x14ac:dyDescent="0.2">
      <c r="A3196">
        <v>736787.64650000003</v>
      </c>
      <c r="B3196">
        <v>-149.59678</v>
      </c>
      <c r="C3196">
        <v>-17.024947999999998</v>
      </c>
      <c r="D3196">
        <v>161.30000000000001</v>
      </c>
      <c r="E3196">
        <v>30.287999871254002</v>
      </c>
      <c r="F3196">
        <v>9.8912000128746005</v>
      </c>
    </row>
    <row r="3197" spans="1:6" x14ac:dyDescent="0.2">
      <c r="A3197">
        <v>736787.64650000003</v>
      </c>
      <c r="B3197">
        <v>-149.59679</v>
      </c>
      <c r="C3197">
        <v>-17.024957000000001</v>
      </c>
      <c r="D3197">
        <v>161.30000000000001</v>
      </c>
      <c r="E3197">
        <v>30.287999871254002</v>
      </c>
      <c r="F3197">
        <v>9.8912000128746005</v>
      </c>
    </row>
    <row r="3198" spans="1:6" x14ac:dyDescent="0.2">
      <c r="A3198">
        <v>736787.64659999998</v>
      </c>
      <c r="B3198">
        <v>-149.59679800000001</v>
      </c>
      <c r="C3198">
        <v>-17.024965000000002</v>
      </c>
      <c r="D3198">
        <v>159.43440152242101</v>
      </c>
      <c r="E3198">
        <v>30.115200069200998</v>
      </c>
      <c r="F3198">
        <v>9.7897600899612396</v>
      </c>
    </row>
    <row r="3199" spans="1:6" x14ac:dyDescent="0.2">
      <c r="A3199">
        <v>736787.64659999998</v>
      </c>
      <c r="B3199">
        <v>-149.59680700000001</v>
      </c>
      <c r="C3199">
        <v>-17.024975000000001</v>
      </c>
      <c r="D3199">
        <v>159.43440152242101</v>
      </c>
      <c r="E3199">
        <v>30.115200069200998</v>
      </c>
      <c r="F3199">
        <v>9.7897600899612396</v>
      </c>
    </row>
    <row r="3200" spans="1:6" x14ac:dyDescent="0.2">
      <c r="A3200">
        <v>736787.64659999998</v>
      </c>
      <c r="B3200">
        <v>-149.59681399999999</v>
      </c>
      <c r="C3200">
        <v>-17.024985999999998</v>
      </c>
      <c r="D3200">
        <v>159.43440152242101</v>
      </c>
      <c r="E3200">
        <v>30.115200069200998</v>
      </c>
      <c r="F3200">
        <v>9.7897600899612396</v>
      </c>
    </row>
    <row r="3201" spans="1:6" x14ac:dyDescent="0.2">
      <c r="A3201">
        <v>736787.64659999998</v>
      </c>
      <c r="B3201">
        <v>-149.596822</v>
      </c>
      <c r="C3201">
        <v>-17.024995000000001</v>
      </c>
      <c r="D3201">
        <v>159.43440152242101</v>
      </c>
      <c r="E3201">
        <v>30.115200069200998</v>
      </c>
      <c r="F3201">
        <v>9.7897600899612396</v>
      </c>
    </row>
    <row r="3202" spans="1:6" x14ac:dyDescent="0.2">
      <c r="A3202">
        <v>736787.64659999998</v>
      </c>
      <c r="B3202">
        <v>-149.59683100000001</v>
      </c>
      <c r="C3202">
        <v>-17.024999000000001</v>
      </c>
      <c r="D3202">
        <v>159.43440152242101</v>
      </c>
      <c r="E3202">
        <v>30.115200069200998</v>
      </c>
      <c r="F3202">
        <v>9.7897600899612396</v>
      </c>
    </row>
    <row r="3203" spans="1:6" x14ac:dyDescent="0.2">
      <c r="A3203">
        <v>736787.64659999998</v>
      </c>
      <c r="B3203">
        <v>-149.59683999999999</v>
      </c>
      <c r="C3203">
        <v>-17.025008</v>
      </c>
      <c r="D3203">
        <v>159.43440152242101</v>
      </c>
      <c r="E3203">
        <v>30.115200069200998</v>
      </c>
      <c r="F3203">
        <v>9.7897600899612396</v>
      </c>
    </row>
    <row r="3204" spans="1:6" x14ac:dyDescent="0.2">
      <c r="A3204">
        <v>736787.64659999998</v>
      </c>
      <c r="B3204">
        <v>-149.59684799999999</v>
      </c>
      <c r="C3204">
        <v>-17.025013000000001</v>
      </c>
      <c r="D3204">
        <v>159.43440152242101</v>
      </c>
      <c r="E3204">
        <v>30.115200069200998</v>
      </c>
      <c r="F3204">
        <v>9.7897600899612396</v>
      </c>
    </row>
    <row r="3205" spans="1:6" x14ac:dyDescent="0.2">
      <c r="A3205">
        <v>736787.64670000004</v>
      </c>
      <c r="B3205">
        <v>-149.59686400000001</v>
      </c>
      <c r="C3205">
        <v>-17.025016000000001</v>
      </c>
      <c r="D3205">
        <v>156.38479990022199</v>
      </c>
      <c r="E3205">
        <v>30.1</v>
      </c>
      <c r="F3205">
        <v>9.6042399950110795</v>
      </c>
    </row>
    <row r="3206" spans="1:6" x14ac:dyDescent="0.2">
      <c r="A3206">
        <v>736787.64670000004</v>
      </c>
      <c r="B3206">
        <v>-149.59687700000001</v>
      </c>
      <c r="C3206">
        <v>-17.025016000000001</v>
      </c>
      <c r="D3206">
        <v>156.38479990022199</v>
      </c>
      <c r="E3206">
        <v>30.1</v>
      </c>
      <c r="F3206">
        <v>9.6042399950110795</v>
      </c>
    </row>
    <row r="3207" spans="1:6" x14ac:dyDescent="0.2">
      <c r="A3207">
        <v>736787.64670000004</v>
      </c>
      <c r="B3207">
        <v>-149.596891</v>
      </c>
      <c r="C3207">
        <v>-17.025024999999999</v>
      </c>
      <c r="D3207">
        <v>156.38479990022199</v>
      </c>
      <c r="E3207">
        <v>30.1</v>
      </c>
      <c r="F3207">
        <v>9.6042399950110795</v>
      </c>
    </row>
    <row r="3208" spans="1:6" x14ac:dyDescent="0.2">
      <c r="A3208">
        <v>736787.64670000004</v>
      </c>
      <c r="B3208">
        <v>-149.596901</v>
      </c>
      <c r="C3208">
        <v>-17.025023999999998</v>
      </c>
      <c r="D3208">
        <v>156.38479990022199</v>
      </c>
      <c r="E3208">
        <v>30.1</v>
      </c>
      <c r="F3208">
        <v>9.6042399950110795</v>
      </c>
    </row>
    <row r="3209" spans="1:6" x14ac:dyDescent="0.2">
      <c r="A3209">
        <v>736787.64670000004</v>
      </c>
      <c r="B3209">
        <v>-149.59691699999999</v>
      </c>
      <c r="C3209">
        <v>-17.025026</v>
      </c>
      <c r="D3209">
        <v>156.38479990022199</v>
      </c>
      <c r="E3209">
        <v>30.1</v>
      </c>
      <c r="F3209">
        <v>9.6042399950110795</v>
      </c>
    </row>
    <row r="3210" spans="1:6" x14ac:dyDescent="0.2">
      <c r="A3210">
        <v>736787.64670000004</v>
      </c>
      <c r="B3210">
        <v>-149.596936</v>
      </c>
      <c r="C3210">
        <v>-17.025030999999998</v>
      </c>
      <c r="D3210">
        <v>156.38479990022199</v>
      </c>
      <c r="E3210">
        <v>30.1</v>
      </c>
      <c r="F3210">
        <v>9.6042399950110795</v>
      </c>
    </row>
    <row r="3211" spans="1:6" x14ac:dyDescent="0.2">
      <c r="A3211">
        <v>736787.64679999999</v>
      </c>
      <c r="B3211">
        <v>-149.596947</v>
      </c>
      <c r="C3211">
        <v>-17.025040000000001</v>
      </c>
      <c r="D3211">
        <v>156.08720043934599</v>
      </c>
      <c r="E3211">
        <v>30.1</v>
      </c>
      <c r="F3211">
        <v>9.5878400251054607</v>
      </c>
    </row>
    <row r="3212" spans="1:6" x14ac:dyDescent="0.2">
      <c r="A3212">
        <v>736787.64679999999</v>
      </c>
      <c r="B3212">
        <v>-149.596957</v>
      </c>
      <c r="C3212">
        <v>-17.025048999999999</v>
      </c>
      <c r="D3212">
        <v>156.08720043934599</v>
      </c>
      <c r="E3212">
        <v>30.1</v>
      </c>
      <c r="F3212">
        <v>9.5878400251054607</v>
      </c>
    </row>
    <row r="3213" spans="1:6" x14ac:dyDescent="0.2">
      <c r="A3213">
        <v>736787.64679999999</v>
      </c>
      <c r="B3213">
        <v>-149.596971</v>
      </c>
      <c r="C3213">
        <v>-17.025057</v>
      </c>
      <c r="D3213">
        <v>156.08720043934599</v>
      </c>
      <c r="E3213">
        <v>30.1</v>
      </c>
      <c r="F3213">
        <v>9.5878400251054607</v>
      </c>
    </row>
    <row r="3214" spans="1:6" x14ac:dyDescent="0.2">
      <c r="A3214">
        <v>736787.64679999999</v>
      </c>
      <c r="B3214">
        <v>-149.596981</v>
      </c>
      <c r="C3214">
        <v>-17.025069999999999</v>
      </c>
      <c r="D3214">
        <v>156.08720043934599</v>
      </c>
      <c r="E3214">
        <v>30.1</v>
      </c>
      <c r="F3214">
        <v>9.5878400251054607</v>
      </c>
    </row>
    <row r="3215" spans="1:6" x14ac:dyDescent="0.2">
      <c r="A3215">
        <v>736787.64679999999</v>
      </c>
      <c r="B3215">
        <v>-149.596993</v>
      </c>
      <c r="C3215">
        <v>-17.025079999999999</v>
      </c>
      <c r="D3215">
        <v>156.08720043934599</v>
      </c>
      <c r="E3215">
        <v>30.1</v>
      </c>
      <c r="F3215">
        <v>9.5878400251054607</v>
      </c>
    </row>
    <row r="3216" spans="1:6" x14ac:dyDescent="0.2">
      <c r="A3216">
        <v>736787.64679999999</v>
      </c>
      <c r="B3216">
        <v>-149.597004</v>
      </c>
      <c r="C3216">
        <v>-17.025086999999999</v>
      </c>
      <c r="D3216">
        <v>156.08720043934599</v>
      </c>
      <c r="E3216">
        <v>30.1</v>
      </c>
      <c r="F3216">
        <v>9.5878400251054607</v>
      </c>
    </row>
    <row r="3217" spans="1:6" x14ac:dyDescent="0.2">
      <c r="A3217">
        <v>736787.64679999999</v>
      </c>
      <c r="B3217">
        <v>-149.59700900000001</v>
      </c>
      <c r="C3217">
        <v>-17.025096000000001</v>
      </c>
      <c r="D3217">
        <v>156.08720043934599</v>
      </c>
      <c r="E3217">
        <v>30.1</v>
      </c>
      <c r="F3217">
        <v>9.5878400251054607</v>
      </c>
    </row>
    <row r="3218" spans="1:6" x14ac:dyDescent="0.2">
      <c r="A3218">
        <v>736787.64679999999</v>
      </c>
      <c r="B3218">
        <v>-149.597016</v>
      </c>
      <c r="C3218">
        <v>-17.025103999999999</v>
      </c>
      <c r="D3218">
        <v>156.08720043934599</v>
      </c>
      <c r="E3218">
        <v>30.1</v>
      </c>
      <c r="F3218">
        <v>9.5878400251054607</v>
      </c>
    </row>
    <row r="3219" spans="1:6" x14ac:dyDescent="0.2">
      <c r="A3219">
        <v>736787.64690000005</v>
      </c>
      <c r="B3219">
        <v>-149.597027</v>
      </c>
      <c r="C3219">
        <v>-17.025116000000001</v>
      </c>
      <c r="D3219">
        <v>155</v>
      </c>
      <c r="E3219">
        <v>30.1</v>
      </c>
      <c r="F3219">
        <v>9.5299999999999994</v>
      </c>
    </row>
    <row r="3220" spans="1:6" x14ac:dyDescent="0.2">
      <c r="A3220">
        <v>736787.64690000005</v>
      </c>
      <c r="B3220">
        <v>-149.59703500000001</v>
      </c>
      <c r="C3220">
        <v>-17.025129</v>
      </c>
      <c r="D3220">
        <v>155</v>
      </c>
      <c r="E3220">
        <v>30.1</v>
      </c>
      <c r="F3220">
        <v>9.5299999999999994</v>
      </c>
    </row>
    <row r="3221" spans="1:6" x14ac:dyDescent="0.2">
      <c r="A3221">
        <v>736787.64690000005</v>
      </c>
      <c r="B3221">
        <v>-149.59704600000001</v>
      </c>
      <c r="C3221">
        <v>-17.025141999999999</v>
      </c>
      <c r="D3221">
        <v>155</v>
      </c>
      <c r="E3221">
        <v>30.1</v>
      </c>
      <c r="F3221">
        <v>9.5299999999999994</v>
      </c>
    </row>
    <row r="3222" spans="1:6" x14ac:dyDescent="0.2">
      <c r="A3222">
        <v>736787.64690000005</v>
      </c>
      <c r="B3222">
        <v>-149.59705</v>
      </c>
      <c r="C3222">
        <v>-17.025151999999999</v>
      </c>
      <c r="D3222">
        <v>155</v>
      </c>
      <c r="E3222">
        <v>30.1</v>
      </c>
      <c r="F3222">
        <v>9.5299999999999994</v>
      </c>
    </row>
    <row r="3223" spans="1:6" x14ac:dyDescent="0.2">
      <c r="A3223">
        <v>736787.64690000005</v>
      </c>
      <c r="B3223">
        <v>-149.597059</v>
      </c>
      <c r="C3223">
        <v>-17.025161000000001</v>
      </c>
      <c r="D3223">
        <v>155</v>
      </c>
      <c r="E3223">
        <v>30.1</v>
      </c>
      <c r="F3223">
        <v>9.5299999999999994</v>
      </c>
    </row>
    <row r="3224" spans="1:6" x14ac:dyDescent="0.2">
      <c r="A3224">
        <v>736787.64690000005</v>
      </c>
      <c r="B3224">
        <v>-149.597072</v>
      </c>
      <c r="C3224">
        <v>-17.025171</v>
      </c>
      <c r="D3224">
        <v>155</v>
      </c>
      <c r="E3224">
        <v>30.1</v>
      </c>
      <c r="F3224">
        <v>9.5299999999999994</v>
      </c>
    </row>
    <row r="3225" spans="1:6" x14ac:dyDescent="0.2">
      <c r="A3225">
        <v>736787.64690000005</v>
      </c>
      <c r="B3225">
        <v>-149.59707700000001</v>
      </c>
      <c r="C3225">
        <v>-17.025181</v>
      </c>
      <c r="D3225">
        <v>155</v>
      </c>
      <c r="E3225">
        <v>30.1</v>
      </c>
      <c r="F3225">
        <v>9.5299999999999994</v>
      </c>
    </row>
    <row r="3226" spans="1:6" x14ac:dyDescent="0.2">
      <c r="A3226">
        <v>736787.64690000005</v>
      </c>
      <c r="B3226">
        <v>-149.59708499999999</v>
      </c>
      <c r="C3226">
        <v>-17.025188</v>
      </c>
      <c r="D3226">
        <v>155</v>
      </c>
      <c r="E3226">
        <v>30.1</v>
      </c>
      <c r="F3226">
        <v>9.5299999999999994</v>
      </c>
    </row>
    <row r="3227" spans="1:6" x14ac:dyDescent="0.2">
      <c r="A3227">
        <v>736787.647</v>
      </c>
      <c r="B3227">
        <v>-149.59709899999999</v>
      </c>
      <c r="C3227">
        <v>-17.025195</v>
      </c>
      <c r="D3227">
        <v>154.77200016897899</v>
      </c>
      <c r="E3227">
        <v>30.1</v>
      </c>
      <c r="F3227">
        <v>9.5148000112652706</v>
      </c>
    </row>
    <row r="3228" spans="1:6" x14ac:dyDescent="0.2">
      <c r="A3228">
        <v>736787.647</v>
      </c>
      <c r="B3228">
        <v>-149.59710799999999</v>
      </c>
      <c r="C3228">
        <v>-17.025200999999999</v>
      </c>
      <c r="D3228">
        <v>154.77200016897899</v>
      </c>
      <c r="E3228">
        <v>30.1</v>
      </c>
      <c r="F3228">
        <v>9.5148000112652706</v>
      </c>
    </row>
    <row r="3229" spans="1:6" x14ac:dyDescent="0.2">
      <c r="A3229">
        <v>736787.647</v>
      </c>
      <c r="B3229">
        <v>-149.597116</v>
      </c>
      <c r="C3229">
        <v>-17.025207999999999</v>
      </c>
      <c r="D3229">
        <v>154.77200016897899</v>
      </c>
      <c r="E3229">
        <v>30.1</v>
      </c>
      <c r="F3229">
        <v>9.5148000112652706</v>
      </c>
    </row>
    <row r="3230" spans="1:6" x14ac:dyDescent="0.2">
      <c r="A3230">
        <v>736787.647</v>
      </c>
      <c r="B3230">
        <v>-149.59712500000001</v>
      </c>
      <c r="C3230">
        <v>-17.025216</v>
      </c>
      <c r="D3230">
        <v>154.77200016897899</v>
      </c>
      <c r="E3230">
        <v>30.1</v>
      </c>
      <c r="F3230">
        <v>9.5148000112652706</v>
      </c>
    </row>
    <row r="3231" spans="1:6" x14ac:dyDescent="0.2">
      <c r="A3231">
        <v>736787.647</v>
      </c>
      <c r="B3231">
        <v>-149.59713400000001</v>
      </c>
      <c r="C3231">
        <v>-17.025223</v>
      </c>
      <c r="D3231">
        <v>154.77200016897899</v>
      </c>
      <c r="E3231">
        <v>30.1</v>
      </c>
      <c r="F3231">
        <v>9.5148000112652706</v>
      </c>
    </row>
    <row r="3232" spans="1:6" x14ac:dyDescent="0.2">
      <c r="A3232">
        <v>736787.647</v>
      </c>
      <c r="B3232">
        <v>-149.59714099999999</v>
      </c>
      <c r="C3232">
        <v>-17.025236</v>
      </c>
      <c r="D3232">
        <v>154.77200016897899</v>
      </c>
      <c r="E3232">
        <v>30.1</v>
      </c>
      <c r="F3232">
        <v>9.5148000112652706</v>
      </c>
    </row>
    <row r="3233" spans="1:6" x14ac:dyDescent="0.2">
      <c r="A3233">
        <v>736787.647</v>
      </c>
      <c r="B3233">
        <v>-149.59715199999999</v>
      </c>
      <c r="C3233">
        <v>-17.02525</v>
      </c>
      <c r="D3233">
        <v>154.77200016897899</v>
      </c>
      <c r="E3233">
        <v>30.1</v>
      </c>
      <c r="F3233">
        <v>9.5148000112652706</v>
      </c>
    </row>
    <row r="3234" spans="1:6" x14ac:dyDescent="0.2">
      <c r="A3234">
        <v>736787.647</v>
      </c>
      <c r="B3234">
        <v>-149.59715700000001</v>
      </c>
      <c r="C3234">
        <v>-17.025262000000001</v>
      </c>
      <c r="D3234">
        <v>154.77200016897899</v>
      </c>
      <c r="E3234">
        <v>30.1</v>
      </c>
      <c r="F3234">
        <v>9.5148000112652706</v>
      </c>
    </row>
    <row r="3235" spans="1:6" x14ac:dyDescent="0.2">
      <c r="A3235">
        <v>736787.64709999994</v>
      </c>
      <c r="B3235">
        <v>-149.597159</v>
      </c>
      <c r="C3235">
        <v>-17.025274</v>
      </c>
      <c r="D3235">
        <v>154.1</v>
      </c>
      <c r="E3235">
        <v>30</v>
      </c>
      <c r="F3235">
        <v>9.48</v>
      </c>
    </row>
    <row r="3236" spans="1:6" x14ac:dyDescent="0.2">
      <c r="A3236">
        <v>736787.64709999994</v>
      </c>
      <c r="B3236">
        <v>-149.597162</v>
      </c>
      <c r="C3236">
        <v>-17.025283999999999</v>
      </c>
      <c r="D3236">
        <v>154.1</v>
      </c>
      <c r="E3236">
        <v>30</v>
      </c>
      <c r="F3236">
        <v>9.48</v>
      </c>
    </row>
    <row r="3237" spans="1:6" x14ac:dyDescent="0.2">
      <c r="A3237">
        <v>736787.64709999994</v>
      </c>
      <c r="B3237">
        <v>-149.59716700000001</v>
      </c>
      <c r="C3237">
        <v>-17.025296999999998</v>
      </c>
      <c r="D3237">
        <v>154.1</v>
      </c>
      <c r="E3237">
        <v>30</v>
      </c>
      <c r="F3237">
        <v>9.48</v>
      </c>
    </row>
    <row r="3238" spans="1:6" x14ac:dyDescent="0.2">
      <c r="A3238">
        <v>736787.64709999994</v>
      </c>
      <c r="B3238">
        <v>-149.597171</v>
      </c>
      <c r="C3238">
        <v>-17.025307999999999</v>
      </c>
      <c r="D3238">
        <v>154.1</v>
      </c>
      <c r="E3238">
        <v>30</v>
      </c>
      <c r="F3238">
        <v>9.48</v>
      </c>
    </row>
    <row r="3239" spans="1:6" x14ac:dyDescent="0.2">
      <c r="A3239">
        <v>736787.64709999994</v>
      </c>
      <c r="B3239">
        <v>-149.597174</v>
      </c>
      <c r="C3239">
        <v>-17.025317999999999</v>
      </c>
      <c r="D3239">
        <v>154.1</v>
      </c>
      <c r="E3239">
        <v>30</v>
      </c>
      <c r="F3239">
        <v>9.48</v>
      </c>
    </row>
    <row r="3240" spans="1:6" x14ac:dyDescent="0.2">
      <c r="A3240">
        <v>736787.64709999994</v>
      </c>
      <c r="B3240">
        <v>-149.59717800000001</v>
      </c>
      <c r="C3240">
        <v>-17.025334000000001</v>
      </c>
      <c r="D3240">
        <v>154.1</v>
      </c>
      <c r="E3240">
        <v>30</v>
      </c>
      <c r="F3240">
        <v>9.48</v>
      </c>
    </row>
    <row r="3241" spans="1:6" x14ac:dyDescent="0.2">
      <c r="A3241">
        <v>736787.64720000001</v>
      </c>
      <c r="B3241">
        <v>-149.59718100000001</v>
      </c>
      <c r="C3241">
        <v>-17.025355000000001</v>
      </c>
      <c r="D3241">
        <v>153.34880004506101</v>
      </c>
      <c r="E3241">
        <v>30</v>
      </c>
      <c r="F3241">
        <v>9.4392000032186605</v>
      </c>
    </row>
    <row r="3242" spans="1:6" x14ac:dyDescent="0.2">
      <c r="A3242">
        <v>736787.64720000001</v>
      </c>
      <c r="B3242">
        <v>-149.597182</v>
      </c>
      <c r="C3242">
        <v>-17.025365000000001</v>
      </c>
      <c r="D3242">
        <v>153.34880004506101</v>
      </c>
      <c r="E3242">
        <v>30</v>
      </c>
      <c r="F3242">
        <v>9.4392000032186605</v>
      </c>
    </row>
    <row r="3243" spans="1:6" x14ac:dyDescent="0.2">
      <c r="A3243">
        <v>736787.64720000001</v>
      </c>
      <c r="B3243">
        <v>-149.597184</v>
      </c>
      <c r="C3243">
        <v>-17.025379999999998</v>
      </c>
      <c r="D3243">
        <v>153.34880004506101</v>
      </c>
      <c r="E3243">
        <v>30</v>
      </c>
      <c r="F3243">
        <v>9.4392000032186605</v>
      </c>
    </row>
    <row r="3244" spans="1:6" x14ac:dyDescent="0.2">
      <c r="A3244">
        <v>736787.64720000001</v>
      </c>
      <c r="B3244">
        <v>-149.597183</v>
      </c>
      <c r="C3244">
        <v>-17.025390999999999</v>
      </c>
      <c r="D3244">
        <v>153.34880004506101</v>
      </c>
      <c r="E3244">
        <v>30</v>
      </c>
      <c r="F3244">
        <v>9.4392000032186605</v>
      </c>
    </row>
    <row r="3245" spans="1:6" x14ac:dyDescent="0.2">
      <c r="A3245">
        <v>736787.64720000001</v>
      </c>
      <c r="B3245">
        <v>-149.597185</v>
      </c>
      <c r="C3245">
        <v>-17.025400999999999</v>
      </c>
      <c r="D3245">
        <v>153.34880004506101</v>
      </c>
      <c r="E3245">
        <v>30</v>
      </c>
      <c r="F3245">
        <v>9.4392000032186605</v>
      </c>
    </row>
    <row r="3246" spans="1:6" x14ac:dyDescent="0.2">
      <c r="A3246">
        <v>736787.64720000001</v>
      </c>
      <c r="B3246">
        <v>-149.59719100000001</v>
      </c>
      <c r="C3246">
        <v>-17.025414000000001</v>
      </c>
      <c r="D3246">
        <v>153.34880004506101</v>
      </c>
      <c r="E3246">
        <v>30</v>
      </c>
      <c r="F3246">
        <v>9.4392000032186605</v>
      </c>
    </row>
    <row r="3247" spans="1:6" x14ac:dyDescent="0.2">
      <c r="A3247">
        <v>736787.64720000001</v>
      </c>
      <c r="B3247">
        <v>-149.59719699999999</v>
      </c>
      <c r="C3247">
        <v>-17.025423</v>
      </c>
      <c r="D3247">
        <v>153.34880004506101</v>
      </c>
      <c r="E3247">
        <v>30</v>
      </c>
      <c r="F3247">
        <v>9.4392000032186605</v>
      </c>
    </row>
    <row r="3248" spans="1:6" x14ac:dyDescent="0.2">
      <c r="A3248">
        <v>736787.64720000001</v>
      </c>
      <c r="B3248">
        <v>-149.597205</v>
      </c>
      <c r="C3248">
        <v>-17.025431999999999</v>
      </c>
      <c r="D3248">
        <v>153.34880004506101</v>
      </c>
      <c r="E3248">
        <v>30</v>
      </c>
      <c r="F3248">
        <v>9.4392000032186605</v>
      </c>
    </row>
    <row r="3249" spans="1:6" x14ac:dyDescent="0.2">
      <c r="A3249">
        <v>736787.64729999995</v>
      </c>
      <c r="B3249">
        <v>-149.59720999999999</v>
      </c>
      <c r="C3249">
        <v>-17.025442000000002</v>
      </c>
      <c r="D3249">
        <v>152.70560004667001</v>
      </c>
      <c r="E3249">
        <v>29.905600046670401</v>
      </c>
      <c r="F3249">
        <v>9.4094399953329599</v>
      </c>
    </row>
    <row r="3250" spans="1:6" x14ac:dyDescent="0.2">
      <c r="A3250">
        <v>736787.64729999995</v>
      </c>
      <c r="B3250">
        <v>-149.597229</v>
      </c>
      <c r="C3250">
        <v>-17.025452000000001</v>
      </c>
      <c r="D3250">
        <v>152.70560004667001</v>
      </c>
      <c r="E3250">
        <v>29.905600046670401</v>
      </c>
      <c r="F3250">
        <v>9.4094399953329599</v>
      </c>
    </row>
    <row r="3251" spans="1:6" x14ac:dyDescent="0.2">
      <c r="A3251">
        <v>736787.64729999995</v>
      </c>
      <c r="B3251">
        <v>-149.59724499999999</v>
      </c>
      <c r="C3251">
        <v>-17.025459000000001</v>
      </c>
      <c r="D3251">
        <v>152.70560004667001</v>
      </c>
      <c r="E3251">
        <v>29.905600046670401</v>
      </c>
      <c r="F3251">
        <v>9.4094399953329599</v>
      </c>
    </row>
    <row r="3252" spans="1:6" x14ac:dyDescent="0.2">
      <c r="A3252">
        <v>736787.64729999995</v>
      </c>
      <c r="B3252">
        <v>-149.59726000000001</v>
      </c>
      <c r="C3252">
        <v>-17.025466999999999</v>
      </c>
      <c r="D3252">
        <v>152.70560004667001</v>
      </c>
      <c r="E3252">
        <v>29.905600046670401</v>
      </c>
      <c r="F3252">
        <v>9.4094399953329599</v>
      </c>
    </row>
    <row r="3253" spans="1:6" x14ac:dyDescent="0.2">
      <c r="A3253">
        <v>736787.64729999995</v>
      </c>
      <c r="B3253">
        <v>-149.597273</v>
      </c>
      <c r="C3253">
        <v>-17.025480000000002</v>
      </c>
      <c r="D3253">
        <v>152.70560004667001</v>
      </c>
      <c r="E3253">
        <v>29.905600046670401</v>
      </c>
      <c r="F3253">
        <v>9.4094399953329599</v>
      </c>
    </row>
    <row r="3254" spans="1:6" x14ac:dyDescent="0.2">
      <c r="A3254">
        <v>736787.64740000002</v>
      </c>
      <c r="B3254">
        <v>-149.597285</v>
      </c>
      <c r="C3254">
        <v>-17.025490000000001</v>
      </c>
      <c r="D3254">
        <v>150.696800260711</v>
      </c>
      <c r="E3254">
        <v>29.9</v>
      </c>
      <c r="F3254">
        <v>9.2898400130355299</v>
      </c>
    </row>
    <row r="3255" spans="1:6" x14ac:dyDescent="0.2">
      <c r="A3255">
        <v>736787.64740000002</v>
      </c>
      <c r="B3255">
        <v>-149.59730099999999</v>
      </c>
      <c r="C3255">
        <v>-17.025499</v>
      </c>
      <c r="D3255">
        <v>150.696800260711</v>
      </c>
      <c r="E3255">
        <v>29.9</v>
      </c>
      <c r="F3255">
        <v>9.2898400130355299</v>
      </c>
    </row>
    <row r="3256" spans="1:6" x14ac:dyDescent="0.2">
      <c r="A3256">
        <v>736787.64740000002</v>
      </c>
      <c r="B3256">
        <v>-149.597307</v>
      </c>
      <c r="C3256">
        <v>-17.025507000000001</v>
      </c>
      <c r="D3256">
        <v>150.696800260711</v>
      </c>
      <c r="E3256">
        <v>29.9</v>
      </c>
      <c r="F3256">
        <v>9.2898400130355299</v>
      </c>
    </row>
    <row r="3257" spans="1:6" x14ac:dyDescent="0.2">
      <c r="A3257">
        <v>736787.64740000002</v>
      </c>
      <c r="B3257">
        <v>-149.59731099999999</v>
      </c>
      <c r="C3257">
        <v>-17.025518999999999</v>
      </c>
      <c r="D3257">
        <v>150.696800260711</v>
      </c>
      <c r="E3257">
        <v>29.9</v>
      </c>
      <c r="F3257">
        <v>9.2898400130355299</v>
      </c>
    </row>
    <row r="3258" spans="1:6" x14ac:dyDescent="0.2">
      <c r="A3258">
        <v>736787.64740000002</v>
      </c>
      <c r="B3258">
        <v>-149.59732</v>
      </c>
      <c r="C3258">
        <v>-17.025528999999999</v>
      </c>
      <c r="D3258">
        <v>150.696800260711</v>
      </c>
      <c r="E3258">
        <v>29.9</v>
      </c>
      <c r="F3258">
        <v>9.2898400130355299</v>
      </c>
    </row>
    <row r="3259" spans="1:6" x14ac:dyDescent="0.2">
      <c r="A3259">
        <v>736787.64740000002</v>
      </c>
      <c r="B3259">
        <v>-149.59732600000001</v>
      </c>
      <c r="C3259">
        <v>-17.025542000000002</v>
      </c>
      <c r="D3259">
        <v>150.696800260711</v>
      </c>
      <c r="E3259">
        <v>29.9</v>
      </c>
      <c r="F3259">
        <v>9.2898400130355299</v>
      </c>
    </row>
    <row r="3260" spans="1:6" x14ac:dyDescent="0.2">
      <c r="A3260">
        <v>736787.64749999996</v>
      </c>
      <c r="B3260">
        <v>-149.59733199999999</v>
      </c>
      <c r="C3260">
        <v>-17.025552999999999</v>
      </c>
      <c r="D3260">
        <v>150.4</v>
      </c>
      <c r="E3260">
        <v>29.9</v>
      </c>
      <c r="F3260">
        <v>9.27</v>
      </c>
    </row>
    <row r="3261" spans="1:6" x14ac:dyDescent="0.2">
      <c r="A3261">
        <v>736787.64749999996</v>
      </c>
      <c r="B3261">
        <v>-149.597343</v>
      </c>
      <c r="C3261">
        <v>-17.025566999999999</v>
      </c>
      <c r="D3261">
        <v>150.4</v>
      </c>
      <c r="E3261">
        <v>29.9</v>
      </c>
      <c r="F3261">
        <v>9.27</v>
      </c>
    </row>
    <row r="3262" spans="1:6" x14ac:dyDescent="0.2">
      <c r="A3262">
        <v>736787.64749999996</v>
      </c>
      <c r="B3262">
        <v>-149.597352</v>
      </c>
      <c r="C3262">
        <v>-17.025583000000001</v>
      </c>
      <c r="D3262">
        <v>150.4</v>
      </c>
      <c r="E3262">
        <v>29.9</v>
      </c>
      <c r="F3262">
        <v>9.27</v>
      </c>
    </row>
    <row r="3263" spans="1:6" x14ac:dyDescent="0.2">
      <c r="A3263">
        <v>736787.64749999996</v>
      </c>
      <c r="B3263">
        <v>-149.59735699999999</v>
      </c>
      <c r="C3263">
        <v>-17.025596</v>
      </c>
      <c r="D3263">
        <v>150.4</v>
      </c>
      <c r="E3263">
        <v>29.9</v>
      </c>
      <c r="F3263">
        <v>9.27</v>
      </c>
    </row>
    <row r="3264" spans="1:6" x14ac:dyDescent="0.2">
      <c r="A3264">
        <v>736787.64749999996</v>
      </c>
      <c r="B3264">
        <v>-149.59736699999999</v>
      </c>
      <c r="C3264">
        <v>-17.025603</v>
      </c>
      <c r="D3264">
        <v>150.4</v>
      </c>
      <c r="E3264">
        <v>29.9</v>
      </c>
      <c r="F3264">
        <v>9.27</v>
      </c>
    </row>
    <row r="3265" spans="1:6" x14ac:dyDescent="0.2">
      <c r="A3265">
        <v>736787.64749999996</v>
      </c>
      <c r="B3265">
        <v>-149.597375</v>
      </c>
      <c r="C3265">
        <v>-17.025614000000001</v>
      </c>
      <c r="D3265">
        <v>150.4</v>
      </c>
      <c r="E3265">
        <v>29.9</v>
      </c>
      <c r="F3265">
        <v>9.27</v>
      </c>
    </row>
    <row r="3266" spans="1:6" x14ac:dyDescent="0.2">
      <c r="A3266">
        <v>736787.64749999996</v>
      </c>
      <c r="B3266">
        <v>-149.59738200000001</v>
      </c>
      <c r="C3266">
        <v>-17.025625000000002</v>
      </c>
      <c r="D3266">
        <v>150.4</v>
      </c>
      <c r="E3266">
        <v>29.9</v>
      </c>
      <c r="F3266">
        <v>9.27</v>
      </c>
    </row>
    <row r="3267" spans="1:6" x14ac:dyDescent="0.2">
      <c r="A3267">
        <v>736787.64749999996</v>
      </c>
      <c r="B3267">
        <v>-149.59739099999999</v>
      </c>
      <c r="C3267">
        <v>-17.025632999999999</v>
      </c>
      <c r="D3267">
        <v>150.4</v>
      </c>
      <c r="E3267">
        <v>29.9</v>
      </c>
      <c r="F3267">
        <v>9.27</v>
      </c>
    </row>
    <row r="3268" spans="1:6" x14ac:dyDescent="0.2">
      <c r="A3268">
        <v>736787.64749999996</v>
      </c>
      <c r="B3268">
        <v>-149.597396</v>
      </c>
      <c r="C3268">
        <v>-17.025646999999999</v>
      </c>
      <c r="D3268">
        <v>150.4</v>
      </c>
      <c r="E3268">
        <v>29.9</v>
      </c>
      <c r="F3268">
        <v>9.27</v>
      </c>
    </row>
    <row r="3269" spans="1:6" x14ac:dyDescent="0.2">
      <c r="A3269">
        <v>736787.64760000003</v>
      </c>
      <c r="B3269">
        <v>-149.59740300000001</v>
      </c>
      <c r="C3269">
        <v>-17.025663000000002</v>
      </c>
      <c r="D3269">
        <v>151.55119995493899</v>
      </c>
      <c r="E3269">
        <v>29.9</v>
      </c>
      <c r="F3269">
        <v>9.3338399966204104</v>
      </c>
    </row>
    <row r="3270" spans="1:6" x14ac:dyDescent="0.2">
      <c r="A3270">
        <v>736787.64760000003</v>
      </c>
      <c r="B3270">
        <v>-149.59741199999999</v>
      </c>
      <c r="C3270">
        <v>-17.025673000000001</v>
      </c>
      <c r="D3270">
        <v>151.55119995493899</v>
      </c>
      <c r="E3270">
        <v>29.9</v>
      </c>
      <c r="F3270">
        <v>9.3338399966204104</v>
      </c>
    </row>
    <row r="3271" spans="1:6" x14ac:dyDescent="0.2">
      <c r="A3271">
        <v>736787.64760000003</v>
      </c>
      <c r="B3271">
        <v>-149.597419</v>
      </c>
      <c r="C3271">
        <v>-17.025682</v>
      </c>
      <c r="D3271">
        <v>151.55119995493899</v>
      </c>
      <c r="E3271">
        <v>29.9</v>
      </c>
      <c r="F3271">
        <v>9.3338399966204104</v>
      </c>
    </row>
    <row r="3272" spans="1:6" x14ac:dyDescent="0.2">
      <c r="A3272">
        <v>736787.64760000003</v>
      </c>
      <c r="B3272">
        <v>-149.59742499999999</v>
      </c>
      <c r="C3272">
        <v>-17.025691999999999</v>
      </c>
      <c r="D3272">
        <v>151.55119995493899</v>
      </c>
      <c r="E3272">
        <v>29.9</v>
      </c>
      <c r="F3272">
        <v>9.3338399966204104</v>
      </c>
    </row>
    <row r="3273" spans="1:6" x14ac:dyDescent="0.2">
      <c r="A3273">
        <v>736787.64760000003</v>
      </c>
      <c r="B3273">
        <v>-149.59743399999999</v>
      </c>
      <c r="C3273">
        <v>-17.025697999999998</v>
      </c>
      <c r="D3273">
        <v>151.55119995493899</v>
      </c>
      <c r="E3273">
        <v>29.9</v>
      </c>
      <c r="F3273">
        <v>9.3338399966204104</v>
      </c>
    </row>
    <row r="3274" spans="1:6" x14ac:dyDescent="0.2">
      <c r="A3274">
        <v>736787.64760000003</v>
      </c>
      <c r="B3274">
        <v>-149.597441</v>
      </c>
      <c r="C3274">
        <v>-17.025707000000001</v>
      </c>
      <c r="D3274">
        <v>151.55119995493899</v>
      </c>
      <c r="E3274">
        <v>29.9</v>
      </c>
      <c r="F3274">
        <v>9.3338399966204104</v>
      </c>
    </row>
    <row r="3275" spans="1:6" x14ac:dyDescent="0.2">
      <c r="A3275">
        <v>736787.64760000003</v>
      </c>
      <c r="B3275">
        <v>-149.59745000000001</v>
      </c>
      <c r="C3275">
        <v>-17.025711999999999</v>
      </c>
      <c r="D3275">
        <v>151.55119995493899</v>
      </c>
      <c r="E3275">
        <v>29.9</v>
      </c>
      <c r="F3275">
        <v>9.3338399966204104</v>
      </c>
    </row>
    <row r="3276" spans="1:6" x14ac:dyDescent="0.2">
      <c r="A3276">
        <v>736787.64760000003</v>
      </c>
      <c r="B3276">
        <v>-149.59745899999999</v>
      </c>
      <c r="C3276">
        <v>-17.025718000000001</v>
      </c>
      <c r="D3276">
        <v>151.55119995493899</v>
      </c>
      <c r="E3276">
        <v>29.9</v>
      </c>
      <c r="F3276">
        <v>9.3338399966204104</v>
      </c>
    </row>
    <row r="3277" spans="1:6" x14ac:dyDescent="0.2">
      <c r="A3277">
        <v>736787.64769999997</v>
      </c>
      <c r="B3277">
        <v>-149.597466</v>
      </c>
      <c r="C3277">
        <v>-17.025725000000001</v>
      </c>
      <c r="D3277">
        <v>151.9</v>
      </c>
      <c r="E3277">
        <v>29.9</v>
      </c>
      <c r="F3277">
        <v>9.36</v>
      </c>
    </row>
    <row r="3278" spans="1:6" x14ac:dyDescent="0.2">
      <c r="A3278">
        <v>736787.64769999997</v>
      </c>
      <c r="B3278">
        <v>-149.59747300000001</v>
      </c>
      <c r="C3278">
        <v>-17.025731</v>
      </c>
      <c r="D3278">
        <v>151.9</v>
      </c>
      <c r="E3278">
        <v>29.9</v>
      </c>
      <c r="F3278">
        <v>9.36</v>
      </c>
    </row>
    <row r="3279" spans="1:6" x14ac:dyDescent="0.2">
      <c r="A3279">
        <v>736787.64769999997</v>
      </c>
      <c r="B3279">
        <v>-149.59748099999999</v>
      </c>
      <c r="C3279">
        <v>-17.025736999999999</v>
      </c>
      <c r="D3279">
        <v>151.9</v>
      </c>
      <c r="E3279">
        <v>29.9</v>
      </c>
      <c r="F3279">
        <v>9.36</v>
      </c>
    </row>
    <row r="3280" spans="1:6" x14ac:dyDescent="0.2">
      <c r="A3280">
        <v>736787.64769999997</v>
      </c>
      <c r="B3280">
        <v>-149.59748999999999</v>
      </c>
      <c r="C3280">
        <v>-17.025741</v>
      </c>
      <c r="D3280">
        <v>151.9</v>
      </c>
      <c r="E3280">
        <v>29.9</v>
      </c>
      <c r="F3280">
        <v>9.36</v>
      </c>
    </row>
    <row r="3281" spans="1:6" x14ac:dyDescent="0.2">
      <c r="A3281">
        <v>736787.64769999997</v>
      </c>
      <c r="B3281">
        <v>-149.597499</v>
      </c>
      <c r="C3281">
        <v>-17.025746999999999</v>
      </c>
      <c r="D3281">
        <v>151.9</v>
      </c>
      <c r="E3281">
        <v>29.9</v>
      </c>
      <c r="F3281">
        <v>9.36</v>
      </c>
    </row>
    <row r="3282" spans="1:6" x14ac:dyDescent="0.2">
      <c r="A3282">
        <v>736787.64769999997</v>
      </c>
      <c r="B3282">
        <v>-149.597509</v>
      </c>
      <c r="C3282">
        <v>-17.025758</v>
      </c>
      <c r="D3282">
        <v>151.9</v>
      </c>
      <c r="E3282">
        <v>29.9</v>
      </c>
      <c r="F3282">
        <v>9.36</v>
      </c>
    </row>
    <row r="3283" spans="1:6" x14ac:dyDescent="0.2">
      <c r="A3283">
        <v>736787.64769999997</v>
      </c>
      <c r="B3283">
        <v>-149.59752</v>
      </c>
      <c r="C3283">
        <v>-17.025766999999998</v>
      </c>
      <c r="D3283">
        <v>151.9</v>
      </c>
      <c r="E3283">
        <v>29.9</v>
      </c>
      <c r="F3283">
        <v>9.36</v>
      </c>
    </row>
    <row r="3284" spans="1:6" x14ac:dyDescent="0.2">
      <c r="A3284">
        <v>736787.64769999997</v>
      </c>
      <c r="B3284">
        <v>-149.59752700000001</v>
      </c>
      <c r="C3284">
        <v>-17.025776</v>
      </c>
      <c r="D3284">
        <v>151.9</v>
      </c>
      <c r="E3284">
        <v>29.9</v>
      </c>
      <c r="F3284">
        <v>9.36</v>
      </c>
    </row>
    <row r="3285" spans="1:6" x14ac:dyDescent="0.2">
      <c r="A3285">
        <v>736787.64780000004</v>
      </c>
      <c r="B3285">
        <v>-149.59753499999999</v>
      </c>
      <c r="C3285">
        <v>-17.025784000000002</v>
      </c>
      <c r="D3285">
        <v>148.531197219082</v>
      </c>
      <c r="E3285">
        <v>29.9</v>
      </c>
      <c r="F3285">
        <v>9.1548798435733492</v>
      </c>
    </row>
    <row r="3286" spans="1:6" x14ac:dyDescent="0.2">
      <c r="A3286">
        <v>736787.64780000004</v>
      </c>
      <c r="B3286">
        <v>-149.59754100000001</v>
      </c>
      <c r="C3286">
        <v>-17.025791999999999</v>
      </c>
      <c r="D3286">
        <v>148.531197219082</v>
      </c>
      <c r="E3286">
        <v>29.9</v>
      </c>
      <c r="F3286">
        <v>9.1548798435733492</v>
      </c>
    </row>
    <row r="3287" spans="1:6" x14ac:dyDescent="0.2">
      <c r="A3287">
        <v>736787.64780000004</v>
      </c>
      <c r="B3287">
        <v>-149.597556</v>
      </c>
      <c r="C3287">
        <v>-17.025807</v>
      </c>
      <c r="D3287">
        <v>148.531197219082</v>
      </c>
      <c r="E3287">
        <v>29.9</v>
      </c>
      <c r="F3287">
        <v>9.1548798435733492</v>
      </c>
    </row>
    <row r="3288" spans="1:6" x14ac:dyDescent="0.2">
      <c r="A3288">
        <v>736787.64780000004</v>
      </c>
      <c r="B3288">
        <v>-149.59756200000001</v>
      </c>
      <c r="C3288">
        <v>-17.025815999999999</v>
      </c>
      <c r="D3288">
        <v>148.531197219082</v>
      </c>
      <c r="E3288">
        <v>29.9</v>
      </c>
      <c r="F3288">
        <v>9.1548798435733492</v>
      </c>
    </row>
    <row r="3289" spans="1:6" x14ac:dyDescent="0.2">
      <c r="A3289">
        <v>736787.64780000004</v>
      </c>
      <c r="B3289">
        <v>-149.59756999999999</v>
      </c>
      <c r="C3289">
        <v>-17.025822000000002</v>
      </c>
      <c r="D3289">
        <v>148.531197219082</v>
      </c>
      <c r="E3289">
        <v>29.9</v>
      </c>
      <c r="F3289">
        <v>9.1548798435733492</v>
      </c>
    </row>
    <row r="3290" spans="1:6" x14ac:dyDescent="0.2">
      <c r="A3290">
        <v>736787.64780000004</v>
      </c>
      <c r="B3290">
        <v>-149.597577</v>
      </c>
      <c r="C3290">
        <v>-17.025832999999999</v>
      </c>
      <c r="D3290">
        <v>148.531197219082</v>
      </c>
      <c r="E3290">
        <v>29.9</v>
      </c>
      <c r="F3290">
        <v>9.1548798435733492</v>
      </c>
    </row>
    <row r="3291" spans="1:6" x14ac:dyDescent="0.2">
      <c r="A3291">
        <v>736787.64780000004</v>
      </c>
      <c r="B3291">
        <v>-149.59758400000001</v>
      </c>
      <c r="C3291">
        <v>-17.025843999999999</v>
      </c>
      <c r="D3291">
        <v>148.531197219082</v>
      </c>
      <c r="E3291">
        <v>29.9</v>
      </c>
      <c r="F3291">
        <v>9.1548798435733492</v>
      </c>
    </row>
    <row r="3292" spans="1:6" x14ac:dyDescent="0.2">
      <c r="A3292">
        <v>736787.64780000004</v>
      </c>
      <c r="B3292">
        <v>-149.59759299999999</v>
      </c>
      <c r="C3292">
        <v>-17.025850999999999</v>
      </c>
      <c r="D3292">
        <v>148.531197219082</v>
      </c>
      <c r="E3292">
        <v>29.9</v>
      </c>
      <c r="F3292">
        <v>9.1548798435733492</v>
      </c>
    </row>
    <row r="3293" spans="1:6" x14ac:dyDescent="0.2">
      <c r="A3293">
        <v>736787.64789999998</v>
      </c>
      <c r="B3293">
        <v>-149.597601</v>
      </c>
      <c r="C3293">
        <v>-17.025859000000001</v>
      </c>
      <c r="D3293">
        <v>146.23280084811401</v>
      </c>
      <c r="E3293">
        <v>29.8</v>
      </c>
      <c r="F3293">
        <v>9.0276000547170305</v>
      </c>
    </row>
    <row r="3294" spans="1:6" x14ac:dyDescent="0.2">
      <c r="A3294">
        <v>736787.64789999998</v>
      </c>
      <c r="B3294">
        <v>-149.59761399999999</v>
      </c>
      <c r="C3294">
        <v>-17.025870000000001</v>
      </c>
      <c r="D3294">
        <v>146.23280084811401</v>
      </c>
      <c r="E3294">
        <v>29.8</v>
      </c>
      <c r="F3294">
        <v>9.0276000547170305</v>
      </c>
    </row>
    <row r="3295" spans="1:6" x14ac:dyDescent="0.2">
      <c r="A3295">
        <v>736787.64789999998</v>
      </c>
      <c r="B3295">
        <v>-149.59762499999999</v>
      </c>
      <c r="C3295">
        <v>-17.025881999999999</v>
      </c>
      <c r="D3295">
        <v>146.23280084811401</v>
      </c>
      <c r="E3295">
        <v>29.8</v>
      </c>
      <c r="F3295">
        <v>9.0276000547170305</v>
      </c>
    </row>
    <row r="3296" spans="1:6" x14ac:dyDescent="0.2">
      <c r="A3296">
        <v>736787.64789999998</v>
      </c>
      <c r="B3296">
        <v>-149.597632</v>
      </c>
      <c r="C3296">
        <v>-17.02589</v>
      </c>
      <c r="D3296">
        <v>146.23280084811401</v>
      </c>
      <c r="E3296">
        <v>29.8</v>
      </c>
      <c r="F3296">
        <v>9.0276000547170305</v>
      </c>
    </row>
    <row r="3297" spans="1:6" x14ac:dyDescent="0.2">
      <c r="A3297">
        <v>736787.64789999998</v>
      </c>
      <c r="B3297">
        <v>-149.59763599999999</v>
      </c>
      <c r="C3297">
        <v>-17.0259</v>
      </c>
      <c r="D3297">
        <v>146.23280084811401</v>
      </c>
      <c r="E3297">
        <v>29.8</v>
      </c>
      <c r="F3297">
        <v>9.0276000547170305</v>
      </c>
    </row>
    <row r="3298" spans="1:6" x14ac:dyDescent="0.2">
      <c r="A3298">
        <v>736787.64789999998</v>
      </c>
      <c r="B3298">
        <v>-149.597645</v>
      </c>
      <c r="C3298">
        <v>-17.025905999999999</v>
      </c>
      <c r="D3298">
        <v>146.23280084811401</v>
      </c>
      <c r="E3298">
        <v>29.8</v>
      </c>
      <c r="F3298">
        <v>9.0276000547170305</v>
      </c>
    </row>
    <row r="3299" spans="1:6" x14ac:dyDescent="0.2">
      <c r="A3299">
        <v>736787.64800000004</v>
      </c>
      <c r="B3299">
        <v>-149.59765300000001</v>
      </c>
      <c r="C3299">
        <v>-17.025918000000001</v>
      </c>
      <c r="D3299">
        <v>142.096000016093</v>
      </c>
      <c r="E3299">
        <v>29.7</v>
      </c>
      <c r="F3299">
        <v>8.7799999999999994</v>
      </c>
    </row>
    <row r="3300" spans="1:6" x14ac:dyDescent="0.2">
      <c r="A3300">
        <v>736787.64800000004</v>
      </c>
      <c r="B3300">
        <v>-149.59765899999999</v>
      </c>
      <c r="C3300">
        <v>-17.025929999999999</v>
      </c>
      <c r="D3300">
        <v>142.096000016093</v>
      </c>
      <c r="E3300">
        <v>29.7</v>
      </c>
      <c r="F3300">
        <v>8.7799999999999994</v>
      </c>
    </row>
    <row r="3301" spans="1:6" x14ac:dyDescent="0.2">
      <c r="A3301">
        <v>736787.64800000004</v>
      </c>
      <c r="B3301">
        <v>-149.59767099999999</v>
      </c>
      <c r="C3301">
        <v>-17.025938</v>
      </c>
      <c r="D3301">
        <v>142.096000016093</v>
      </c>
      <c r="E3301">
        <v>29.7</v>
      </c>
      <c r="F3301">
        <v>8.7799999999999994</v>
      </c>
    </row>
    <row r="3302" spans="1:6" x14ac:dyDescent="0.2">
      <c r="A3302">
        <v>736787.64800000004</v>
      </c>
      <c r="B3302">
        <v>-149.59768</v>
      </c>
      <c r="C3302">
        <v>-17.025948</v>
      </c>
      <c r="D3302">
        <v>142.096000016093</v>
      </c>
      <c r="E3302">
        <v>29.7</v>
      </c>
      <c r="F3302">
        <v>8.7799999999999994</v>
      </c>
    </row>
    <row r="3303" spans="1:6" x14ac:dyDescent="0.2">
      <c r="A3303">
        <v>736787.64800000004</v>
      </c>
      <c r="B3303">
        <v>-149.59768700000001</v>
      </c>
      <c r="C3303">
        <v>-17.025957999999999</v>
      </c>
      <c r="D3303">
        <v>142.096000016093</v>
      </c>
      <c r="E3303">
        <v>29.7</v>
      </c>
      <c r="F3303">
        <v>8.7799999999999994</v>
      </c>
    </row>
    <row r="3304" spans="1:6" x14ac:dyDescent="0.2">
      <c r="A3304">
        <v>736787.64800000004</v>
      </c>
      <c r="B3304">
        <v>-149.59770399999999</v>
      </c>
      <c r="C3304">
        <v>-17.025974000000001</v>
      </c>
      <c r="D3304">
        <v>142.096000016093</v>
      </c>
      <c r="E3304">
        <v>29.7</v>
      </c>
      <c r="F3304">
        <v>8.7799999999999994</v>
      </c>
    </row>
    <row r="3305" spans="1:6" x14ac:dyDescent="0.2">
      <c r="A3305">
        <v>736787.64800000004</v>
      </c>
      <c r="B3305">
        <v>-149.597712</v>
      </c>
      <c r="C3305">
        <v>-17.025977999999999</v>
      </c>
      <c r="D3305">
        <v>142.096000016093</v>
      </c>
      <c r="E3305">
        <v>29.7</v>
      </c>
      <c r="F3305">
        <v>8.7799999999999994</v>
      </c>
    </row>
    <row r="3306" spans="1:6" x14ac:dyDescent="0.2">
      <c r="A3306">
        <v>736787.64809999999</v>
      </c>
      <c r="B3306">
        <v>-149.597725</v>
      </c>
      <c r="C3306">
        <v>-17.025988000000002</v>
      </c>
      <c r="D3306">
        <v>140.387200439346</v>
      </c>
      <c r="E3306">
        <v>29.7</v>
      </c>
      <c r="F3306">
        <v>8.6801600271975801</v>
      </c>
    </row>
    <row r="3307" spans="1:6" x14ac:dyDescent="0.2">
      <c r="A3307">
        <v>736787.64809999999</v>
      </c>
      <c r="B3307">
        <v>-149.597737</v>
      </c>
      <c r="C3307">
        <v>-17.026</v>
      </c>
      <c r="D3307">
        <v>140.387200439346</v>
      </c>
      <c r="E3307">
        <v>29.7</v>
      </c>
      <c r="F3307">
        <v>8.6801600271975801</v>
      </c>
    </row>
    <row r="3308" spans="1:6" x14ac:dyDescent="0.2">
      <c r="A3308">
        <v>736787.64809999999</v>
      </c>
      <c r="B3308">
        <v>-149.59774899999999</v>
      </c>
      <c r="C3308">
        <v>-17.026008000000001</v>
      </c>
      <c r="D3308">
        <v>140.387200439346</v>
      </c>
      <c r="E3308">
        <v>29.7</v>
      </c>
      <c r="F3308">
        <v>8.6801600271975801</v>
      </c>
    </row>
    <row r="3309" spans="1:6" x14ac:dyDescent="0.2">
      <c r="A3309">
        <v>736787.64809999999</v>
      </c>
      <c r="B3309">
        <v>-149.59776199999999</v>
      </c>
      <c r="C3309">
        <v>-17.026018000000001</v>
      </c>
      <c r="D3309">
        <v>140.387200439346</v>
      </c>
      <c r="E3309">
        <v>29.7</v>
      </c>
      <c r="F3309">
        <v>8.6801600271975801</v>
      </c>
    </row>
    <row r="3310" spans="1:6" x14ac:dyDescent="0.2">
      <c r="A3310">
        <v>736787.64809999999</v>
      </c>
      <c r="B3310">
        <v>-149.59777</v>
      </c>
      <c r="C3310">
        <v>-17.026028</v>
      </c>
      <c r="D3310">
        <v>140.387200439346</v>
      </c>
      <c r="E3310">
        <v>29.7</v>
      </c>
      <c r="F3310">
        <v>8.6801600271975801</v>
      </c>
    </row>
    <row r="3311" spans="1:6" x14ac:dyDescent="0.2">
      <c r="A3311">
        <v>736787.64820000005</v>
      </c>
      <c r="B3311">
        <v>-149.59777800000001</v>
      </c>
      <c r="C3311">
        <v>-17.026039999999998</v>
      </c>
      <c r="D3311">
        <v>138.104799015091</v>
      </c>
      <c r="E3311">
        <v>29.6</v>
      </c>
      <c r="F3311">
        <v>8.5552799425469992</v>
      </c>
    </row>
    <row r="3312" spans="1:6" x14ac:dyDescent="0.2">
      <c r="A3312">
        <v>736787.64820000005</v>
      </c>
      <c r="B3312">
        <v>-149.59778499999999</v>
      </c>
      <c r="C3312">
        <v>-17.026050000000001</v>
      </c>
      <c r="D3312">
        <v>138.104799015091</v>
      </c>
      <c r="E3312">
        <v>29.6</v>
      </c>
      <c r="F3312">
        <v>8.5552799425469992</v>
      </c>
    </row>
    <row r="3313" spans="1:6" x14ac:dyDescent="0.2">
      <c r="A3313">
        <v>736787.64820000005</v>
      </c>
      <c r="B3313">
        <v>-149.59778800000001</v>
      </c>
      <c r="C3313">
        <v>-17.026064000000002</v>
      </c>
      <c r="D3313">
        <v>138.104799015091</v>
      </c>
      <c r="E3313">
        <v>29.6</v>
      </c>
      <c r="F3313">
        <v>8.5552799425469992</v>
      </c>
    </row>
    <row r="3314" spans="1:6" x14ac:dyDescent="0.2">
      <c r="A3314">
        <v>736787.64820000005</v>
      </c>
      <c r="B3314">
        <v>-149.59779499999999</v>
      </c>
      <c r="C3314">
        <v>-17.026074000000001</v>
      </c>
      <c r="D3314">
        <v>138.104799015091</v>
      </c>
      <c r="E3314">
        <v>29.6</v>
      </c>
      <c r="F3314">
        <v>8.5552799425469992</v>
      </c>
    </row>
    <row r="3315" spans="1:6" x14ac:dyDescent="0.2">
      <c r="A3315">
        <v>736787.6483</v>
      </c>
      <c r="B3315">
        <v>-149.597802</v>
      </c>
      <c r="C3315">
        <v>-17.02608</v>
      </c>
      <c r="D3315">
        <v>137.38800007242</v>
      </c>
      <c r="E3315">
        <v>29.5</v>
      </c>
      <c r="F3315">
        <v>8.5210400057935693</v>
      </c>
    </row>
    <row r="3316" spans="1:6" x14ac:dyDescent="0.2">
      <c r="A3316">
        <v>736787.6483</v>
      </c>
      <c r="B3316">
        <v>-149.59780799999999</v>
      </c>
      <c r="C3316">
        <v>-17.026091999999998</v>
      </c>
      <c r="D3316">
        <v>137.38800007242</v>
      </c>
      <c r="E3316">
        <v>29.5</v>
      </c>
      <c r="F3316">
        <v>8.5210400057935693</v>
      </c>
    </row>
    <row r="3317" spans="1:6" x14ac:dyDescent="0.2">
      <c r="A3317">
        <v>736787.6483</v>
      </c>
      <c r="B3317">
        <v>-149.59781799999999</v>
      </c>
      <c r="C3317">
        <v>-17.026095999999999</v>
      </c>
      <c r="D3317">
        <v>137.38800007242</v>
      </c>
      <c r="E3317">
        <v>29.5</v>
      </c>
      <c r="F3317">
        <v>8.5210400057935693</v>
      </c>
    </row>
    <row r="3318" spans="1:6" x14ac:dyDescent="0.2">
      <c r="A3318">
        <v>736787.6483</v>
      </c>
      <c r="B3318">
        <v>-149.597826</v>
      </c>
      <c r="C3318">
        <v>-17.0261</v>
      </c>
      <c r="D3318">
        <v>137.38800007242</v>
      </c>
      <c r="E3318">
        <v>29.5</v>
      </c>
      <c r="F3318">
        <v>8.5210400057935693</v>
      </c>
    </row>
    <row r="3319" spans="1:6" x14ac:dyDescent="0.2">
      <c r="A3319">
        <v>736787.6483</v>
      </c>
      <c r="B3319">
        <v>-149.59783400000001</v>
      </c>
      <c r="C3319">
        <v>-17.026105999999999</v>
      </c>
      <c r="D3319">
        <v>137.38800007242</v>
      </c>
      <c r="E3319">
        <v>29.5</v>
      </c>
      <c r="F3319">
        <v>8.5210400057935693</v>
      </c>
    </row>
    <row r="3320" spans="1:6" x14ac:dyDescent="0.2">
      <c r="A3320">
        <v>736787.6483</v>
      </c>
      <c r="B3320">
        <v>-149.597847</v>
      </c>
      <c r="C3320">
        <v>-17.026115999999998</v>
      </c>
      <c r="D3320">
        <v>137.38800007242</v>
      </c>
      <c r="E3320">
        <v>29.5</v>
      </c>
      <c r="F3320">
        <v>8.5210400057935693</v>
      </c>
    </row>
    <row r="3321" spans="1:6" x14ac:dyDescent="0.2">
      <c r="A3321">
        <v>736787.6483</v>
      </c>
      <c r="B3321">
        <v>-149.597857</v>
      </c>
      <c r="C3321">
        <v>-17.026119999999999</v>
      </c>
      <c r="D3321">
        <v>137.38800007242</v>
      </c>
      <c r="E3321">
        <v>29.5</v>
      </c>
      <c r="F3321">
        <v>8.5210400057935693</v>
      </c>
    </row>
    <row r="3322" spans="1:6" x14ac:dyDescent="0.2">
      <c r="A3322">
        <v>736787.64839999995</v>
      </c>
      <c r="B3322">
        <v>-149.59786500000001</v>
      </c>
      <c r="C3322">
        <v>-17.026126000000001</v>
      </c>
      <c r="D3322">
        <v>136.52400010460599</v>
      </c>
      <c r="E3322">
        <v>29.5</v>
      </c>
      <c r="F3322">
        <v>8.4614400062763799</v>
      </c>
    </row>
    <row r="3323" spans="1:6" x14ac:dyDescent="0.2">
      <c r="A3323">
        <v>736787.64839999995</v>
      </c>
      <c r="B3323">
        <v>-149.59787700000001</v>
      </c>
      <c r="C3323">
        <v>-17.026132</v>
      </c>
      <c r="D3323">
        <v>136.52400010460599</v>
      </c>
      <c r="E3323">
        <v>29.5</v>
      </c>
      <c r="F3323">
        <v>8.4614400062763799</v>
      </c>
    </row>
    <row r="3324" spans="1:6" x14ac:dyDescent="0.2">
      <c r="A3324">
        <v>736787.64839999995</v>
      </c>
      <c r="B3324">
        <v>-149.597883</v>
      </c>
      <c r="C3324">
        <v>-17.026143999999999</v>
      </c>
      <c r="D3324">
        <v>136.52400010460599</v>
      </c>
      <c r="E3324">
        <v>29.5</v>
      </c>
      <c r="F3324">
        <v>8.4614400062763799</v>
      </c>
    </row>
    <row r="3325" spans="1:6" x14ac:dyDescent="0.2">
      <c r="A3325">
        <v>736787.64839999995</v>
      </c>
      <c r="B3325">
        <v>-149.59788699999999</v>
      </c>
      <c r="C3325">
        <v>-17.026152</v>
      </c>
      <c r="D3325">
        <v>136.52400010460599</v>
      </c>
      <c r="E3325">
        <v>29.5</v>
      </c>
      <c r="F3325">
        <v>8.4614400062763799</v>
      </c>
    </row>
    <row r="3326" spans="1:6" x14ac:dyDescent="0.2">
      <c r="A3326">
        <v>736787.64839999995</v>
      </c>
      <c r="B3326">
        <v>-149.59789799999999</v>
      </c>
      <c r="C3326">
        <v>-17.026167999999998</v>
      </c>
      <c r="D3326">
        <v>136.52400010460599</v>
      </c>
      <c r="E3326">
        <v>29.5</v>
      </c>
      <c r="F3326">
        <v>8.4614400062763799</v>
      </c>
    </row>
    <row r="3327" spans="1:6" x14ac:dyDescent="0.2">
      <c r="A3327">
        <v>736787.64839999995</v>
      </c>
      <c r="B3327">
        <v>-149.597904</v>
      </c>
      <c r="C3327">
        <v>-17.026176</v>
      </c>
      <c r="D3327">
        <v>136.52400010460599</v>
      </c>
      <c r="E3327">
        <v>29.5</v>
      </c>
      <c r="F3327">
        <v>8.4614400062763799</v>
      </c>
    </row>
    <row r="3328" spans="1:6" x14ac:dyDescent="0.2">
      <c r="A3328">
        <v>736787.64850000001</v>
      </c>
      <c r="B3328">
        <v>-149.59791200000001</v>
      </c>
      <c r="C3328">
        <v>-17.026188000000001</v>
      </c>
      <c r="D3328">
        <v>136.09200004828</v>
      </c>
      <c r="E3328">
        <v>29.5</v>
      </c>
      <c r="F3328">
        <v>8.4428000032186503</v>
      </c>
    </row>
    <row r="3329" spans="1:6" x14ac:dyDescent="0.2">
      <c r="A3329">
        <v>736787.64850000001</v>
      </c>
      <c r="B3329">
        <v>-149.59792300000001</v>
      </c>
      <c r="C3329">
        <v>-17.026198000000001</v>
      </c>
      <c r="D3329">
        <v>136.09200004828</v>
      </c>
      <c r="E3329">
        <v>29.5</v>
      </c>
      <c r="F3329">
        <v>8.4428000032186503</v>
      </c>
    </row>
    <row r="3330" spans="1:6" x14ac:dyDescent="0.2">
      <c r="A3330">
        <v>736787.64850000001</v>
      </c>
      <c r="B3330">
        <v>-149.59793099999999</v>
      </c>
      <c r="C3330">
        <v>-17.026208</v>
      </c>
      <c r="D3330">
        <v>136.09200004828</v>
      </c>
      <c r="E3330">
        <v>29.5</v>
      </c>
      <c r="F3330">
        <v>8.4428000032186503</v>
      </c>
    </row>
    <row r="3331" spans="1:6" x14ac:dyDescent="0.2">
      <c r="A3331">
        <v>736787.64850000001</v>
      </c>
      <c r="B3331">
        <v>-149.59794099999999</v>
      </c>
      <c r="C3331">
        <v>-17.026222000000001</v>
      </c>
      <c r="D3331">
        <v>136.09200004828</v>
      </c>
      <c r="E3331">
        <v>29.5</v>
      </c>
      <c r="F3331">
        <v>8.4428000032186503</v>
      </c>
    </row>
    <row r="3332" spans="1:6" x14ac:dyDescent="0.2">
      <c r="A3332">
        <v>736787.64859999996</v>
      </c>
      <c r="B3332">
        <v>-149.59794299999999</v>
      </c>
      <c r="C3332">
        <v>-17.026236000000001</v>
      </c>
      <c r="D3332">
        <v>135.30000000000001</v>
      </c>
      <c r="E3332">
        <v>29.5</v>
      </c>
      <c r="F3332">
        <v>8.4</v>
      </c>
    </row>
    <row r="3333" spans="1:6" x14ac:dyDescent="0.2">
      <c r="A3333">
        <v>736787.64859999996</v>
      </c>
      <c r="B3333">
        <v>-149.59795199999999</v>
      </c>
      <c r="C3333">
        <v>-17.026250000000001</v>
      </c>
      <c r="D3333">
        <v>135.30000000000001</v>
      </c>
      <c r="E3333">
        <v>29.5</v>
      </c>
      <c r="F3333">
        <v>8.4</v>
      </c>
    </row>
    <row r="3334" spans="1:6" x14ac:dyDescent="0.2">
      <c r="A3334">
        <v>736787.64859999996</v>
      </c>
      <c r="B3334">
        <v>-149.59795399999999</v>
      </c>
      <c r="C3334">
        <v>-17.026256</v>
      </c>
      <c r="D3334">
        <v>135.30000000000001</v>
      </c>
      <c r="E3334">
        <v>29.5</v>
      </c>
      <c r="F3334">
        <v>8.4</v>
      </c>
    </row>
    <row r="3335" spans="1:6" x14ac:dyDescent="0.2">
      <c r="A3335">
        <v>736787.64859999996</v>
      </c>
      <c r="B3335">
        <v>-149.59796</v>
      </c>
      <c r="C3335">
        <v>-17.026266</v>
      </c>
      <c r="D3335">
        <v>135.30000000000001</v>
      </c>
      <c r="E3335">
        <v>29.5</v>
      </c>
      <c r="F3335">
        <v>8.4</v>
      </c>
    </row>
    <row r="3336" spans="1:6" x14ac:dyDescent="0.2">
      <c r="A3336">
        <v>736787.64870000002</v>
      </c>
      <c r="B3336">
        <v>-149.59796900000001</v>
      </c>
      <c r="C3336">
        <v>-17.026275999999999</v>
      </c>
      <c r="D3336">
        <v>135.35439999356299</v>
      </c>
      <c r="E3336">
        <v>29.5</v>
      </c>
      <c r="F3336">
        <v>8.4027199996781405</v>
      </c>
    </row>
    <row r="3337" spans="1:6" x14ac:dyDescent="0.2">
      <c r="A3337">
        <v>736787.64870000002</v>
      </c>
      <c r="B3337">
        <v>-149.597971</v>
      </c>
      <c r="C3337">
        <v>-17.026288000000001</v>
      </c>
      <c r="D3337">
        <v>135.35439999356299</v>
      </c>
      <c r="E3337">
        <v>29.5</v>
      </c>
      <c r="F3337">
        <v>8.4027199996781405</v>
      </c>
    </row>
    <row r="3338" spans="1:6" x14ac:dyDescent="0.2">
      <c r="A3338">
        <v>736787.64879999997</v>
      </c>
      <c r="B3338">
        <v>-149.59797</v>
      </c>
      <c r="C3338">
        <v>-17.026298000000001</v>
      </c>
      <c r="D3338">
        <v>135.69999999999999</v>
      </c>
      <c r="E3338">
        <v>29.5</v>
      </c>
      <c r="F3338">
        <v>8.42</v>
      </c>
    </row>
    <row r="3339" spans="1:6" x14ac:dyDescent="0.2">
      <c r="A3339">
        <v>736787.64879999997</v>
      </c>
      <c r="B3339">
        <v>-149.59796299999999</v>
      </c>
      <c r="C3339">
        <v>-17.026308</v>
      </c>
      <c r="D3339">
        <v>135.69999999999999</v>
      </c>
      <c r="E3339">
        <v>29.5</v>
      </c>
      <c r="F3339">
        <v>8.42</v>
      </c>
    </row>
    <row r="3340" spans="1:6" x14ac:dyDescent="0.2">
      <c r="A3340">
        <v>736787.64890000003</v>
      </c>
      <c r="B3340">
        <v>-149.59795299999999</v>
      </c>
      <c r="C3340">
        <v>-17.026318</v>
      </c>
      <c r="D3340">
        <v>135.855200028968</v>
      </c>
      <c r="E3340">
        <v>29.5</v>
      </c>
      <c r="F3340">
        <v>8.4277600014483909</v>
      </c>
    </row>
    <row r="3341" spans="1:6" x14ac:dyDescent="0.2">
      <c r="A3341">
        <v>736787.64890000003</v>
      </c>
      <c r="B3341">
        <v>-149.59794400000001</v>
      </c>
      <c r="C3341">
        <v>-17.026326000000001</v>
      </c>
      <c r="D3341">
        <v>135.855200028968</v>
      </c>
      <c r="E3341">
        <v>29.5</v>
      </c>
      <c r="F3341">
        <v>8.4277600014483909</v>
      </c>
    </row>
    <row r="3342" spans="1:6" x14ac:dyDescent="0.2">
      <c r="A3342">
        <v>736787.64890000003</v>
      </c>
      <c r="B3342">
        <v>-149.59793500000001</v>
      </c>
      <c r="C3342">
        <v>-17.026337999999999</v>
      </c>
      <c r="D3342">
        <v>135.855200028968</v>
      </c>
      <c r="E3342">
        <v>29.5</v>
      </c>
      <c r="F3342">
        <v>8.4277600014483909</v>
      </c>
    </row>
    <row r="3343" spans="1:6" x14ac:dyDescent="0.2">
      <c r="A3343">
        <v>736787.64890000003</v>
      </c>
      <c r="B3343">
        <v>-149.597926</v>
      </c>
      <c r="C3343">
        <v>-17.026346</v>
      </c>
      <c r="D3343">
        <v>135.855200028968</v>
      </c>
      <c r="E3343">
        <v>29.5</v>
      </c>
      <c r="F3343">
        <v>8.4277600014483909</v>
      </c>
    </row>
    <row r="3344" spans="1:6" x14ac:dyDescent="0.2">
      <c r="A3344">
        <v>736787.64899999998</v>
      </c>
      <c r="B3344">
        <v>-149.597917</v>
      </c>
      <c r="C3344">
        <v>-17.026347999999999</v>
      </c>
      <c r="D3344">
        <v>136.19600002414001</v>
      </c>
      <c r="E3344">
        <v>29.5</v>
      </c>
      <c r="F3344">
        <v>8.4464000016093195</v>
      </c>
    </row>
    <row r="3345" spans="1:6" x14ac:dyDescent="0.2">
      <c r="A3345">
        <v>736787.64899999998</v>
      </c>
      <c r="B3345">
        <v>-149.59790599999999</v>
      </c>
      <c r="C3345">
        <v>-17.026356</v>
      </c>
      <c r="D3345">
        <v>136.19600002414001</v>
      </c>
      <c r="E3345">
        <v>29.5</v>
      </c>
      <c r="F3345">
        <v>8.4464000016093195</v>
      </c>
    </row>
    <row r="3346" spans="1:6" x14ac:dyDescent="0.2">
      <c r="A3346">
        <v>736787.64899999998</v>
      </c>
      <c r="B3346">
        <v>-149.597893</v>
      </c>
      <c r="C3346">
        <v>-17.02636</v>
      </c>
      <c r="D3346">
        <v>136.19600002414001</v>
      </c>
      <c r="E3346">
        <v>29.5</v>
      </c>
      <c r="F3346">
        <v>8.4464000016093195</v>
      </c>
    </row>
    <row r="3347" spans="1:6" x14ac:dyDescent="0.2">
      <c r="A3347">
        <v>736787.64899999998</v>
      </c>
      <c r="B3347">
        <v>-149.597882</v>
      </c>
      <c r="C3347">
        <v>-17.026364000000001</v>
      </c>
      <c r="D3347">
        <v>136.19600002414001</v>
      </c>
      <c r="E3347">
        <v>29.5</v>
      </c>
      <c r="F3347">
        <v>8.4464000016093195</v>
      </c>
    </row>
    <row r="3348" spans="1:6" x14ac:dyDescent="0.2">
      <c r="A3348">
        <v>736787.64910000004</v>
      </c>
      <c r="B3348">
        <v>-149.597869</v>
      </c>
      <c r="C3348">
        <v>-17.026368000000002</v>
      </c>
      <c r="D3348">
        <v>136.41920008368501</v>
      </c>
      <c r="E3348">
        <v>29.504800020921301</v>
      </c>
      <c r="F3348">
        <v>8.4609600041842494</v>
      </c>
    </row>
    <row r="3349" spans="1:6" x14ac:dyDescent="0.2">
      <c r="A3349">
        <v>736787.64910000004</v>
      </c>
      <c r="B3349">
        <v>-149.59786099999999</v>
      </c>
      <c r="C3349">
        <v>-17.026374000000001</v>
      </c>
      <c r="D3349">
        <v>136.41920008368501</v>
      </c>
      <c r="E3349">
        <v>29.504800020921301</v>
      </c>
      <c r="F3349">
        <v>8.4609600041842494</v>
      </c>
    </row>
    <row r="3350" spans="1:6" x14ac:dyDescent="0.2">
      <c r="A3350">
        <v>736787.64910000004</v>
      </c>
      <c r="B3350">
        <v>-149.59785299999999</v>
      </c>
      <c r="C3350">
        <v>-17.026382000000002</v>
      </c>
      <c r="D3350">
        <v>136.41920008368501</v>
      </c>
      <c r="E3350">
        <v>29.504800020921301</v>
      </c>
      <c r="F3350">
        <v>8.4609600041842494</v>
      </c>
    </row>
    <row r="3351" spans="1:6" x14ac:dyDescent="0.2">
      <c r="A3351">
        <v>736787.64910000004</v>
      </c>
      <c r="B3351">
        <v>-149.59783899999999</v>
      </c>
      <c r="C3351">
        <v>-17.026389999999999</v>
      </c>
      <c r="D3351">
        <v>136.41920008368501</v>
      </c>
      <c r="E3351">
        <v>29.504800020921301</v>
      </c>
      <c r="F3351">
        <v>8.4609600041842494</v>
      </c>
    </row>
    <row r="3352" spans="1:6" x14ac:dyDescent="0.2">
      <c r="A3352">
        <v>736787.64919999999</v>
      </c>
      <c r="B3352">
        <v>-149.59782899999999</v>
      </c>
      <c r="C3352">
        <v>-17.026398</v>
      </c>
      <c r="D3352">
        <v>136.80000000000001</v>
      </c>
      <c r="E3352">
        <v>29.6</v>
      </c>
      <c r="F3352">
        <v>8.48</v>
      </c>
    </row>
    <row r="3353" spans="1:6" x14ac:dyDescent="0.2">
      <c r="A3353">
        <v>736787.64919999999</v>
      </c>
      <c r="B3353">
        <v>-149.59781799999999</v>
      </c>
      <c r="C3353">
        <v>-17.026406000000001</v>
      </c>
      <c r="D3353">
        <v>136.80000000000001</v>
      </c>
      <c r="E3353">
        <v>29.6</v>
      </c>
      <c r="F3353">
        <v>8.48</v>
      </c>
    </row>
    <row r="3354" spans="1:6" x14ac:dyDescent="0.2">
      <c r="A3354">
        <v>736787.64919999999</v>
      </c>
      <c r="B3354">
        <v>-149.59781000000001</v>
      </c>
      <c r="C3354">
        <v>-17.026413999999999</v>
      </c>
      <c r="D3354">
        <v>136.80000000000001</v>
      </c>
      <c r="E3354">
        <v>29.6</v>
      </c>
      <c r="F3354">
        <v>8.48</v>
      </c>
    </row>
    <row r="3355" spans="1:6" x14ac:dyDescent="0.2">
      <c r="A3355">
        <v>736787.64919999999</v>
      </c>
      <c r="B3355">
        <v>-149.597801</v>
      </c>
      <c r="C3355">
        <v>-17.026430000000001</v>
      </c>
      <c r="D3355">
        <v>136.80000000000001</v>
      </c>
      <c r="E3355">
        <v>29.6</v>
      </c>
      <c r="F3355">
        <v>8.48</v>
      </c>
    </row>
    <row r="3356" spans="1:6" x14ac:dyDescent="0.2">
      <c r="A3356">
        <v>736787.64919999999</v>
      </c>
      <c r="B3356">
        <v>-149.59779499999999</v>
      </c>
      <c r="C3356">
        <v>-17.026437999999999</v>
      </c>
      <c r="D3356">
        <v>136.80000000000001</v>
      </c>
      <c r="E3356">
        <v>29.6</v>
      </c>
      <c r="F3356">
        <v>8.48</v>
      </c>
    </row>
    <row r="3357" spans="1:6" x14ac:dyDescent="0.2">
      <c r="A3357">
        <v>736787.64930000005</v>
      </c>
      <c r="B3357">
        <v>-149.59778499999999</v>
      </c>
      <c r="C3357">
        <v>-17.026451999999999</v>
      </c>
      <c r="D3357">
        <v>137</v>
      </c>
      <c r="E3357">
        <v>29.6</v>
      </c>
      <c r="F3357">
        <v>8.49</v>
      </c>
    </row>
    <row r="3358" spans="1:6" x14ac:dyDescent="0.2">
      <c r="A3358">
        <v>736787.64930000005</v>
      </c>
      <c r="B3358">
        <v>-149.59777399999999</v>
      </c>
      <c r="C3358">
        <v>-17.026465000000002</v>
      </c>
      <c r="D3358">
        <v>137</v>
      </c>
      <c r="E3358">
        <v>29.6</v>
      </c>
      <c r="F3358">
        <v>8.49</v>
      </c>
    </row>
    <row r="3359" spans="1:6" x14ac:dyDescent="0.2">
      <c r="A3359">
        <v>736787.64930000005</v>
      </c>
      <c r="B3359">
        <v>-149.59776600000001</v>
      </c>
      <c r="C3359">
        <v>-17.026471999999998</v>
      </c>
      <c r="D3359">
        <v>137</v>
      </c>
      <c r="E3359">
        <v>29.6</v>
      </c>
      <c r="F3359">
        <v>8.49</v>
      </c>
    </row>
    <row r="3360" spans="1:6" x14ac:dyDescent="0.2">
      <c r="A3360">
        <v>736787.64930000005</v>
      </c>
      <c r="B3360">
        <v>-149.597756</v>
      </c>
      <c r="C3360">
        <v>-17.026484</v>
      </c>
      <c r="D3360">
        <v>137</v>
      </c>
      <c r="E3360">
        <v>29.6</v>
      </c>
      <c r="F3360">
        <v>8.49</v>
      </c>
    </row>
    <row r="3361" spans="1:6" x14ac:dyDescent="0.2">
      <c r="A3361">
        <v>736787.64939999999</v>
      </c>
      <c r="B3361">
        <v>-149.597746</v>
      </c>
      <c r="C3361">
        <v>-17.026492999999999</v>
      </c>
      <c r="D3361">
        <v>137.09280008368501</v>
      </c>
      <c r="E3361">
        <v>29.6</v>
      </c>
      <c r="F3361">
        <v>8.4946400041842391</v>
      </c>
    </row>
    <row r="3362" spans="1:6" x14ac:dyDescent="0.2">
      <c r="A3362">
        <v>736787.64939999999</v>
      </c>
      <c r="B3362">
        <v>-149.597734</v>
      </c>
      <c r="C3362">
        <v>-17.026498</v>
      </c>
      <c r="D3362">
        <v>137.09280008368501</v>
      </c>
      <c r="E3362">
        <v>29.6</v>
      </c>
      <c r="F3362">
        <v>8.4946400041842391</v>
      </c>
    </row>
    <row r="3363" spans="1:6" x14ac:dyDescent="0.2">
      <c r="A3363">
        <v>736787.64939999999</v>
      </c>
      <c r="B3363">
        <v>-149.597722</v>
      </c>
      <c r="C3363">
        <v>-17.026503000000002</v>
      </c>
      <c r="D3363">
        <v>137.09280008368501</v>
      </c>
      <c r="E3363">
        <v>29.6</v>
      </c>
      <c r="F3363">
        <v>8.4946400041842391</v>
      </c>
    </row>
    <row r="3364" spans="1:6" x14ac:dyDescent="0.2">
      <c r="A3364">
        <v>736787.64939999999</v>
      </c>
      <c r="B3364">
        <v>-149.59771000000001</v>
      </c>
      <c r="C3364">
        <v>-17.026508</v>
      </c>
      <c r="D3364">
        <v>137.09280008368501</v>
      </c>
      <c r="E3364">
        <v>29.6</v>
      </c>
      <c r="F3364">
        <v>8.4946400041842391</v>
      </c>
    </row>
    <row r="3365" spans="1:6" x14ac:dyDescent="0.2">
      <c r="A3365">
        <v>736787.64939999999</v>
      </c>
      <c r="B3365">
        <v>-149.59769800000001</v>
      </c>
      <c r="C3365">
        <v>-17.026516999999998</v>
      </c>
      <c r="D3365">
        <v>137.09280008368501</v>
      </c>
      <c r="E3365">
        <v>29.6</v>
      </c>
      <c r="F3365">
        <v>8.4946400041842391</v>
      </c>
    </row>
    <row r="3366" spans="1:6" x14ac:dyDescent="0.2">
      <c r="A3366">
        <v>736787.64950000006</v>
      </c>
      <c r="B3366">
        <v>-149.59768800000001</v>
      </c>
      <c r="C3366">
        <v>-17.026527000000002</v>
      </c>
      <c r="D3366">
        <v>138.072000168979</v>
      </c>
      <c r="E3366">
        <v>29.6</v>
      </c>
      <c r="F3366">
        <v>8.5484000096559498</v>
      </c>
    </row>
    <row r="3367" spans="1:6" x14ac:dyDescent="0.2">
      <c r="A3367">
        <v>736787.64950000006</v>
      </c>
      <c r="B3367">
        <v>-149.59768199999999</v>
      </c>
      <c r="C3367">
        <v>-17.026536</v>
      </c>
      <c r="D3367">
        <v>138.072000168979</v>
      </c>
      <c r="E3367">
        <v>29.6</v>
      </c>
      <c r="F3367">
        <v>8.5484000096559498</v>
      </c>
    </row>
    <row r="3368" spans="1:6" x14ac:dyDescent="0.2">
      <c r="A3368">
        <v>736787.64950000006</v>
      </c>
      <c r="B3368">
        <v>-149.59767400000001</v>
      </c>
      <c r="C3368">
        <v>-17.026544999999999</v>
      </c>
      <c r="D3368">
        <v>138.072000168979</v>
      </c>
      <c r="E3368">
        <v>29.6</v>
      </c>
      <c r="F3368">
        <v>8.5484000096559498</v>
      </c>
    </row>
    <row r="3369" spans="1:6" x14ac:dyDescent="0.2">
      <c r="A3369">
        <v>736787.6496</v>
      </c>
      <c r="B3369">
        <v>-149.59766999999999</v>
      </c>
      <c r="C3369">
        <v>-17.026554000000001</v>
      </c>
      <c r="D3369">
        <v>138.37520010943399</v>
      </c>
      <c r="E3369">
        <v>29.7</v>
      </c>
      <c r="F3369">
        <v>8.5606400082075496</v>
      </c>
    </row>
    <row r="3370" spans="1:6" x14ac:dyDescent="0.2">
      <c r="A3370">
        <v>736787.64969999995</v>
      </c>
      <c r="B3370">
        <v>-149.597658</v>
      </c>
      <c r="C3370">
        <v>-17.026554999999998</v>
      </c>
      <c r="D3370">
        <v>139.6</v>
      </c>
      <c r="E3370">
        <v>29.7</v>
      </c>
      <c r="F3370">
        <v>8.6300000000000008</v>
      </c>
    </row>
    <row r="3371" spans="1:6" x14ac:dyDescent="0.2">
      <c r="A3371">
        <v>736787.64969999995</v>
      </c>
      <c r="B3371">
        <v>-149.597646</v>
      </c>
      <c r="C3371">
        <v>-17.026547999999998</v>
      </c>
      <c r="D3371">
        <v>139.6</v>
      </c>
      <c r="E3371">
        <v>29.7</v>
      </c>
      <c r="F3371">
        <v>8.6300000000000008</v>
      </c>
    </row>
    <row r="3372" spans="1:6" x14ac:dyDescent="0.2">
      <c r="A3372">
        <v>736787.64969999995</v>
      </c>
      <c r="B3372">
        <v>-149.59763599999999</v>
      </c>
      <c r="C3372">
        <v>-17.026544000000001</v>
      </c>
      <c r="D3372">
        <v>139.6</v>
      </c>
      <c r="E3372">
        <v>29.7</v>
      </c>
      <c r="F3372">
        <v>8.6300000000000008</v>
      </c>
    </row>
    <row r="3373" spans="1:6" x14ac:dyDescent="0.2">
      <c r="A3373">
        <v>736787.64969999995</v>
      </c>
      <c r="B3373">
        <v>-149.59761800000001</v>
      </c>
      <c r="C3373">
        <v>-17.026541000000002</v>
      </c>
      <c r="D3373">
        <v>139.6</v>
      </c>
      <c r="E3373">
        <v>29.7</v>
      </c>
      <c r="F3373">
        <v>8.6300000000000008</v>
      </c>
    </row>
    <row r="3374" spans="1:6" x14ac:dyDescent="0.2">
      <c r="A3374">
        <v>736787.64969999995</v>
      </c>
      <c r="B3374">
        <v>-149.59760199999999</v>
      </c>
      <c r="C3374">
        <v>-17.026541000000002</v>
      </c>
      <c r="D3374">
        <v>139.6</v>
      </c>
      <c r="E3374">
        <v>29.7</v>
      </c>
      <c r="F3374">
        <v>8.6300000000000008</v>
      </c>
    </row>
    <row r="3375" spans="1:6" x14ac:dyDescent="0.2">
      <c r="A3375">
        <v>736787.64980000001</v>
      </c>
      <c r="B3375">
        <v>-149.597588</v>
      </c>
      <c r="C3375">
        <v>-17.026540000000001</v>
      </c>
      <c r="D3375">
        <v>140.74480057452899</v>
      </c>
      <c r="E3375">
        <v>29.714400033795801</v>
      </c>
      <c r="F3375">
        <v>8.6929600304162307</v>
      </c>
    </row>
    <row r="3376" spans="1:6" x14ac:dyDescent="0.2">
      <c r="A3376">
        <v>736787.64980000001</v>
      </c>
      <c r="B3376">
        <v>-149.597578</v>
      </c>
      <c r="C3376">
        <v>-17.026541000000002</v>
      </c>
      <c r="D3376">
        <v>140.74480057452899</v>
      </c>
      <c r="E3376">
        <v>29.714400033795801</v>
      </c>
      <c r="F3376">
        <v>8.6929600304162307</v>
      </c>
    </row>
    <row r="3377" spans="1:6" x14ac:dyDescent="0.2">
      <c r="A3377">
        <v>736787.64980000001</v>
      </c>
      <c r="B3377">
        <v>-149.59756200000001</v>
      </c>
      <c r="C3377">
        <v>-17.026548999999999</v>
      </c>
      <c r="D3377">
        <v>140.74480057452899</v>
      </c>
      <c r="E3377">
        <v>29.714400033795801</v>
      </c>
      <c r="F3377">
        <v>8.6929600304162307</v>
      </c>
    </row>
    <row r="3378" spans="1:6" x14ac:dyDescent="0.2">
      <c r="A3378">
        <v>736787.64980000001</v>
      </c>
      <c r="B3378">
        <v>-149.59754599999999</v>
      </c>
      <c r="C3378">
        <v>-17.026555999999999</v>
      </c>
      <c r="D3378">
        <v>140.74480057452899</v>
      </c>
      <c r="E3378">
        <v>29.714400033795801</v>
      </c>
      <c r="F3378">
        <v>8.6929600304162307</v>
      </c>
    </row>
    <row r="3379" spans="1:6" x14ac:dyDescent="0.2">
      <c r="A3379">
        <v>736787.64980000001</v>
      </c>
      <c r="B3379">
        <v>-149.59753599999999</v>
      </c>
      <c r="C3379">
        <v>-17.026558000000001</v>
      </c>
      <c r="D3379">
        <v>140.74480057452899</v>
      </c>
      <c r="E3379">
        <v>29.714400033795801</v>
      </c>
      <c r="F3379">
        <v>8.6929600304162307</v>
      </c>
    </row>
    <row r="3380" spans="1:6" x14ac:dyDescent="0.2">
      <c r="A3380">
        <v>736787.64980000001</v>
      </c>
      <c r="B3380">
        <v>-149.59751800000001</v>
      </c>
      <c r="C3380">
        <v>-17.026562999999999</v>
      </c>
      <c r="D3380">
        <v>140.74480057452899</v>
      </c>
      <c r="E3380">
        <v>29.714400033795801</v>
      </c>
      <c r="F3380">
        <v>8.6929600304162307</v>
      </c>
    </row>
    <row r="3381" spans="1:6" x14ac:dyDescent="0.2">
      <c r="A3381">
        <v>736787.64989999996</v>
      </c>
      <c r="B3381">
        <v>-149.59750199999999</v>
      </c>
      <c r="C3381">
        <v>-17.026561000000001</v>
      </c>
      <c r="D3381">
        <v>143.42080015771401</v>
      </c>
      <c r="E3381">
        <v>29.8872000112653</v>
      </c>
      <c r="F3381">
        <v>8.8397600090122292</v>
      </c>
    </row>
    <row r="3382" spans="1:6" x14ac:dyDescent="0.2">
      <c r="A3382">
        <v>736787.64989999996</v>
      </c>
      <c r="B3382">
        <v>-149.597486</v>
      </c>
      <c r="C3382">
        <v>-17.026558999999999</v>
      </c>
      <c r="D3382">
        <v>143.42080015771401</v>
      </c>
      <c r="E3382">
        <v>29.8872000112653</v>
      </c>
      <c r="F3382">
        <v>8.8397600090122292</v>
      </c>
    </row>
    <row r="3383" spans="1:6" x14ac:dyDescent="0.2">
      <c r="A3383">
        <v>736787.64989999996</v>
      </c>
      <c r="B3383">
        <v>-149.597478</v>
      </c>
      <c r="C3383">
        <v>-17.026554999999998</v>
      </c>
      <c r="D3383">
        <v>143.42080015771401</v>
      </c>
      <c r="E3383">
        <v>29.8872000112653</v>
      </c>
      <c r="F3383">
        <v>8.8397600090122292</v>
      </c>
    </row>
    <row r="3384" spans="1:6" x14ac:dyDescent="0.2">
      <c r="A3384">
        <v>736787.64989999996</v>
      </c>
      <c r="B3384">
        <v>-149.59746000000001</v>
      </c>
      <c r="C3384">
        <v>-17.026551000000001</v>
      </c>
      <c r="D3384">
        <v>143.42080015771401</v>
      </c>
      <c r="E3384">
        <v>29.8872000112653</v>
      </c>
      <c r="F3384">
        <v>8.8397600090122292</v>
      </c>
    </row>
    <row r="3385" spans="1:6" x14ac:dyDescent="0.2">
      <c r="A3385">
        <v>736787.65</v>
      </c>
      <c r="B3385">
        <v>-149.59744000000001</v>
      </c>
      <c r="C3385">
        <v>-17.026546</v>
      </c>
      <c r="D3385">
        <v>144.60000060349699</v>
      </c>
      <c r="E3385">
        <v>30</v>
      </c>
      <c r="F3385">
        <v>8.9040000362097995</v>
      </c>
    </row>
    <row r="3386" spans="1:6" x14ac:dyDescent="0.2">
      <c r="A3386">
        <v>736787.65</v>
      </c>
      <c r="B3386">
        <v>-149.59743</v>
      </c>
      <c r="C3386">
        <v>-17.026543</v>
      </c>
      <c r="D3386">
        <v>144.60000060349699</v>
      </c>
      <c r="E3386">
        <v>30</v>
      </c>
      <c r="F3386">
        <v>8.9040000362097995</v>
      </c>
    </row>
    <row r="3387" spans="1:6" x14ac:dyDescent="0.2">
      <c r="A3387">
        <v>736787.65</v>
      </c>
      <c r="B3387">
        <v>-149.59741500000001</v>
      </c>
      <c r="C3387">
        <v>-17.026537999999999</v>
      </c>
      <c r="D3387">
        <v>144.60000060349699</v>
      </c>
      <c r="E3387">
        <v>30</v>
      </c>
      <c r="F3387">
        <v>8.9040000362097995</v>
      </c>
    </row>
    <row r="3388" spans="1:6" x14ac:dyDescent="0.2">
      <c r="A3388">
        <v>736787.65</v>
      </c>
      <c r="B3388">
        <v>-149.597399</v>
      </c>
      <c r="C3388">
        <v>-17.026530999999999</v>
      </c>
      <c r="D3388">
        <v>144.60000060349699</v>
      </c>
      <c r="E3388">
        <v>30</v>
      </c>
      <c r="F3388">
        <v>8.9040000362097995</v>
      </c>
    </row>
    <row r="3389" spans="1:6" x14ac:dyDescent="0.2">
      <c r="A3389">
        <v>736787.65</v>
      </c>
      <c r="B3389">
        <v>-149.59738300000001</v>
      </c>
      <c r="C3389">
        <v>-17.026520000000001</v>
      </c>
      <c r="D3389">
        <v>144.60000060349699</v>
      </c>
      <c r="E3389">
        <v>30</v>
      </c>
      <c r="F3389">
        <v>8.9040000362097995</v>
      </c>
    </row>
    <row r="3390" spans="1:6" x14ac:dyDescent="0.2">
      <c r="A3390">
        <v>736787.65</v>
      </c>
      <c r="B3390">
        <v>-149.597374</v>
      </c>
      <c r="C3390">
        <v>-17.026513000000001</v>
      </c>
      <c r="D3390">
        <v>144.60000060349699</v>
      </c>
      <c r="E3390">
        <v>30</v>
      </c>
      <c r="F3390">
        <v>8.9040000362097995</v>
      </c>
    </row>
    <row r="3391" spans="1:6" x14ac:dyDescent="0.2">
      <c r="A3391">
        <v>736787.65009999997</v>
      </c>
      <c r="B3391">
        <v>-149.59736599999999</v>
      </c>
      <c r="C3391">
        <v>-17.026503000000002</v>
      </c>
      <c r="D3391">
        <v>148.69999999999999</v>
      </c>
      <c r="E3391">
        <v>30.1</v>
      </c>
      <c r="F3391">
        <v>9.14</v>
      </c>
    </row>
    <row r="3392" spans="1:6" x14ac:dyDescent="0.2">
      <c r="A3392">
        <v>736787.65009999997</v>
      </c>
      <c r="B3392">
        <v>-149.597354</v>
      </c>
      <c r="C3392">
        <v>-17.026503000000002</v>
      </c>
      <c r="D3392">
        <v>148.69999999999999</v>
      </c>
      <c r="E3392">
        <v>30.1</v>
      </c>
      <c r="F3392">
        <v>9.14</v>
      </c>
    </row>
    <row r="3393" spans="1:6" x14ac:dyDescent="0.2">
      <c r="A3393">
        <v>736787.65009999997</v>
      </c>
      <c r="B3393">
        <v>-149.59734399999999</v>
      </c>
      <c r="C3393">
        <v>-17.026502000000001</v>
      </c>
      <c r="D3393">
        <v>148.69999999999999</v>
      </c>
      <c r="E3393">
        <v>30.1</v>
      </c>
      <c r="F3393">
        <v>9.14</v>
      </c>
    </row>
    <row r="3394" spans="1:6" x14ac:dyDescent="0.2">
      <c r="A3394">
        <v>736787.65020000003</v>
      </c>
      <c r="B3394">
        <v>-149.59733299999999</v>
      </c>
      <c r="C3394">
        <v>-17.026502000000001</v>
      </c>
      <c r="D3394">
        <v>150.372800606715</v>
      </c>
      <c r="E3394">
        <v>30.1</v>
      </c>
      <c r="F3394">
        <v>9.2444800373363307</v>
      </c>
    </row>
    <row r="3395" spans="1:6" x14ac:dyDescent="0.2">
      <c r="A3395">
        <v>736787.65020000003</v>
      </c>
      <c r="B3395">
        <v>-149.59732199999999</v>
      </c>
      <c r="C3395">
        <v>-17.026509999999998</v>
      </c>
      <c r="D3395">
        <v>150.372800606715</v>
      </c>
      <c r="E3395">
        <v>30.1</v>
      </c>
      <c r="F3395">
        <v>9.2444800373363307</v>
      </c>
    </row>
    <row r="3396" spans="1:6" x14ac:dyDescent="0.2">
      <c r="A3396">
        <v>736787.65020000003</v>
      </c>
      <c r="B3396">
        <v>-149.597308</v>
      </c>
      <c r="C3396">
        <v>-17.026516000000001</v>
      </c>
      <c r="D3396">
        <v>150.372800606715</v>
      </c>
      <c r="E3396">
        <v>30.1</v>
      </c>
      <c r="F3396">
        <v>9.2444800373363307</v>
      </c>
    </row>
    <row r="3397" spans="1:6" x14ac:dyDescent="0.2">
      <c r="A3397">
        <v>736787.65029999998</v>
      </c>
      <c r="B3397">
        <v>-149.59729300000001</v>
      </c>
      <c r="C3397">
        <v>-17.026517999999999</v>
      </c>
      <c r="D3397">
        <v>151.6</v>
      </c>
      <c r="E3397">
        <v>30.1</v>
      </c>
      <c r="F3397">
        <v>9.32</v>
      </c>
    </row>
    <row r="3398" spans="1:6" x14ac:dyDescent="0.2">
      <c r="A3398">
        <v>736787.65029999998</v>
      </c>
      <c r="B3398">
        <v>-149.59728200000001</v>
      </c>
      <c r="C3398">
        <v>-17.026513000000001</v>
      </c>
      <c r="D3398">
        <v>151.6</v>
      </c>
      <c r="E3398">
        <v>30.1</v>
      </c>
      <c r="F3398">
        <v>9.32</v>
      </c>
    </row>
    <row r="3399" spans="1:6" x14ac:dyDescent="0.2">
      <c r="A3399">
        <v>736787.65029999998</v>
      </c>
      <c r="B3399">
        <v>-149.59727100000001</v>
      </c>
      <c r="C3399">
        <v>-17.026513000000001</v>
      </c>
      <c r="D3399">
        <v>151.6</v>
      </c>
      <c r="E3399">
        <v>30.1</v>
      </c>
      <c r="F3399">
        <v>9.32</v>
      </c>
    </row>
    <row r="3400" spans="1:6" x14ac:dyDescent="0.2">
      <c r="A3400">
        <v>736787.65029999998</v>
      </c>
      <c r="B3400">
        <v>-149.59725800000001</v>
      </c>
      <c r="C3400">
        <v>-17.026516000000001</v>
      </c>
      <c r="D3400">
        <v>151.6</v>
      </c>
      <c r="E3400">
        <v>30.1</v>
      </c>
      <c r="F3400">
        <v>9.32</v>
      </c>
    </row>
    <row r="3401" spans="1:6" x14ac:dyDescent="0.2">
      <c r="A3401">
        <v>736787.65040000004</v>
      </c>
      <c r="B3401">
        <v>-149.59724800000001</v>
      </c>
      <c r="C3401">
        <v>-17.026516999999998</v>
      </c>
      <c r="D3401">
        <v>152.5656006904</v>
      </c>
      <c r="E3401">
        <v>30.1</v>
      </c>
      <c r="F3401">
        <v>9.3758400371753901</v>
      </c>
    </row>
    <row r="3402" spans="1:6" x14ac:dyDescent="0.2">
      <c r="A3402">
        <v>736787.65040000004</v>
      </c>
      <c r="B3402">
        <v>-149.59723500000001</v>
      </c>
      <c r="C3402">
        <v>-17.026520000000001</v>
      </c>
      <c r="D3402">
        <v>152.5656006904</v>
      </c>
      <c r="E3402">
        <v>30.1</v>
      </c>
      <c r="F3402">
        <v>9.3758400371753901</v>
      </c>
    </row>
    <row r="3403" spans="1:6" x14ac:dyDescent="0.2">
      <c r="A3403">
        <v>736787.65040000004</v>
      </c>
      <c r="B3403">
        <v>-149.59722400000001</v>
      </c>
      <c r="C3403">
        <v>-17.026520000000001</v>
      </c>
      <c r="D3403">
        <v>152.5656006904</v>
      </c>
      <c r="E3403">
        <v>30.1</v>
      </c>
      <c r="F3403">
        <v>9.3758400371753901</v>
      </c>
    </row>
    <row r="3404" spans="1:6" x14ac:dyDescent="0.2">
      <c r="A3404">
        <v>736787.65049999999</v>
      </c>
      <c r="B3404">
        <v>-149.59721200000001</v>
      </c>
      <c r="C3404">
        <v>-17.026526</v>
      </c>
      <c r="D3404">
        <v>153.488000675916</v>
      </c>
      <c r="E3404">
        <v>30.1</v>
      </c>
      <c r="F3404">
        <v>9.4368000394284497</v>
      </c>
    </row>
    <row r="3405" spans="1:6" x14ac:dyDescent="0.2">
      <c r="A3405">
        <v>736787.65049999999</v>
      </c>
      <c r="B3405">
        <v>-149.597205</v>
      </c>
      <c r="C3405">
        <v>-17.026534000000002</v>
      </c>
      <c r="D3405">
        <v>153.488000675916</v>
      </c>
      <c r="E3405">
        <v>30.1</v>
      </c>
      <c r="F3405">
        <v>9.4368000394284497</v>
      </c>
    </row>
    <row r="3406" spans="1:6" x14ac:dyDescent="0.2">
      <c r="A3406">
        <v>736787.65049999999</v>
      </c>
      <c r="B3406">
        <v>-149.59719799999999</v>
      </c>
      <c r="C3406">
        <v>-17.026548999999999</v>
      </c>
      <c r="D3406">
        <v>153.488000675916</v>
      </c>
      <c r="E3406">
        <v>30.1</v>
      </c>
      <c r="F3406">
        <v>9.4368000394284497</v>
      </c>
    </row>
    <row r="3407" spans="1:6" x14ac:dyDescent="0.2">
      <c r="A3407">
        <v>736787.65049999999</v>
      </c>
      <c r="B3407">
        <v>-149.59719000000001</v>
      </c>
      <c r="C3407">
        <v>-17.026564</v>
      </c>
      <c r="D3407">
        <v>153.488000675916</v>
      </c>
      <c r="E3407">
        <v>30.1</v>
      </c>
      <c r="F3407">
        <v>9.4368000394284497</v>
      </c>
    </row>
    <row r="3408" spans="1:6" x14ac:dyDescent="0.2">
      <c r="A3408">
        <v>736787.65049999999</v>
      </c>
      <c r="B3408">
        <v>-149.59718100000001</v>
      </c>
      <c r="C3408">
        <v>-17.026572999999999</v>
      </c>
      <c r="D3408">
        <v>153.488000675916</v>
      </c>
      <c r="E3408">
        <v>30.1</v>
      </c>
      <c r="F3408">
        <v>9.4368000394284497</v>
      </c>
    </row>
    <row r="3409" spans="1:6" x14ac:dyDescent="0.2">
      <c r="A3409">
        <v>736787.65060000005</v>
      </c>
      <c r="B3409">
        <v>-149.59716700000001</v>
      </c>
      <c r="C3409">
        <v>-17.026579000000002</v>
      </c>
      <c r="D3409">
        <v>156.239201131355</v>
      </c>
      <c r="E3409">
        <v>30.1</v>
      </c>
      <c r="F3409">
        <v>9.5964800654995006</v>
      </c>
    </row>
    <row r="3410" spans="1:6" x14ac:dyDescent="0.2">
      <c r="A3410">
        <v>736787.65060000005</v>
      </c>
      <c r="B3410">
        <v>-149.59715600000001</v>
      </c>
      <c r="C3410">
        <v>-17.026584</v>
      </c>
      <c r="D3410">
        <v>156.239201131355</v>
      </c>
      <c r="E3410">
        <v>30.1</v>
      </c>
      <c r="F3410">
        <v>9.5964800654995006</v>
      </c>
    </row>
    <row r="3411" spans="1:6" x14ac:dyDescent="0.2">
      <c r="A3411">
        <v>736787.65060000005</v>
      </c>
      <c r="B3411">
        <v>-149.59714199999999</v>
      </c>
      <c r="C3411">
        <v>-17.026586999999999</v>
      </c>
      <c r="D3411">
        <v>156.239201131355</v>
      </c>
      <c r="E3411">
        <v>30.1</v>
      </c>
      <c r="F3411">
        <v>9.5964800654995006</v>
      </c>
    </row>
    <row r="3412" spans="1:6" x14ac:dyDescent="0.2">
      <c r="A3412">
        <v>736787.65060000005</v>
      </c>
      <c r="B3412">
        <v>-149.597127</v>
      </c>
      <c r="C3412">
        <v>-17.026589000000001</v>
      </c>
      <c r="D3412">
        <v>156.239201131355</v>
      </c>
      <c r="E3412">
        <v>30.1</v>
      </c>
      <c r="F3412">
        <v>9.5964800654995006</v>
      </c>
    </row>
    <row r="3413" spans="1:6" x14ac:dyDescent="0.2">
      <c r="A3413">
        <v>736787.65060000005</v>
      </c>
      <c r="B3413">
        <v>-149.59711200000001</v>
      </c>
      <c r="C3413">
        <v>-17.026589000000001</v>
      </c>
      <c r="D3413">
        <v>156.239201131355</v>
      </c>
      <c r="E3413">
        <v>30.1</v>
      </c>
      <c r="F3413">
        <v>9.5964800654995006</v>
      </c>
    </row>
    <row r="3414" spans="1:6" x14ac:dyDescent="0.2">
      <c r="A3414">
        <v>736787.65060000005</v>
      </c>
      <c r="B3414">
        <v>-149.59709699999999</v>
      </c>
      <c r="C3414">
        <v>-17.026582000000001</v>
      </c>
      <c r="D3414">
        <v>156.239201131355</v>
      </c>
      <c r="E3414">
        <v>30.1</v>
      </c>
      <c r="F3414">
        <v>9.5964800654995006</v>
      </c>
    </row>
    <row r="3415" spans="1:6" x14ac:dyDescent="0.2">
      <c r="A3415">
        <v>736787.6507</v>
      </c>
      <c r="B3415">
        <v>-149.59708699999999</v>
      </c>
      <c r="C3415">
        <v>-17.026568000000001</v>
      </c>
      <c r="D3415">
        <v>156.9</v>
      </c>
      <c r="E3415">
        <v>30.1</v>
      </c>
      <c r="F3415">
        <v>9.64</v>
      </c>
    </row>
    <row r="3416" spans="1:6" x14ac:dyDescent="0.2">
      <c r="A3416">
        <v>736787.6507</v>
      </c>
      <c r="B3416">
        <v>-149.59707800000001</v>
      </c>
      <c r="C3416">
        <v>-17.026558999999999</v>
      </c>
      <c r="D3416">
        <v>156.9</v>
      </c>
      <c r="E3416">
        <v>30.1</v>
      </c>
      <c r="F3416">
        <v>9.64</v>
      </c>
    </row>
    <row r="3417" spans="1:6" x14ac:dyDescent="0.2">
      <c r="A3417">
        <v>736787.6507</v>
      </c>
      <c r="B3417">
        <v>-149.59707</v>
      </c>
      <c r="C3417">
        <v>-17.026551000000001</v>
      </c>
      <c r="D3417">
        <v>156.9</v>
      </c>
      <c r="E3417">
        <v>30.1</v>
      </c>
      <c r="F3417">
        <v>9.64</v>
      </c>
    </row>
    <row r="3418" spans="1:6" x14ac:dyDescent="0.2">
      <c r="A3418">
        <v>736787.6507</v>
      </c>
      <c r="B3418">
        <v>-149.59705500000001</v>
      </c>
      <c r="C3418">
        <v>-17.026537999999999</v>
      </c>
      <c r="D3418">
        <v>156.9</v>
      </c>
      <c r="E3418">
        <v>30.1</v>
      </c>
      <c r="F3418">
        <v>9.64</v>
      </c>
    </row>
    <row r="3419" spans="1:6" x14ac:dyDescent="0.2">
      <c r="A3419">
        <v>736787.6507</v>
      </c>
      <c r="B3419">
        <v>-149.59704099999999</v>
      </c>
      <c r="C3419">
        <v>-17.026530000000001</v>
      </c>
      <c r="D3419">
        <v>156.9</v>
      </c>
      <c r="E3419">
        <v>30.1</v>
      </c>
      <c r="F3419">
        <v>9.64</v>
      </c>
    </row>
    <row r="3420" spans="1:6" x14ac:dyDescent="0.2">
      <c r="A3420">
        <v>736787.6507</v>
      </c>
      <c r="B3420">
        <v>-149.597027</v>
      </c>
      <c r="C3420">
        <v>-17.026523000000001</v>
      </c>
      <c r="D3420">
        <v>156.9</v>
      </c>
      <c r="E3420">
        <v>30.1</v>
      </c>
      <c r="F3420">
        <v>9.64</v>
      </c>
    </row>
    <row r="3421" spans="1:6" x14ac:dyDescent="0.2">
      <c r="A3421">
        <v>736787.65079999994</v>
      </c>
      <c r="B3421">
        <v>-149.59701200000001</v>
      </c>
      <c r="C3421">
        <v>-17.026517999999999</v>
      </c>
      <c r="D3421">
        <v>158.09679905371701</v>
      </c>
      <c r="E3421">
        <v>30.1</v>
      </c>
      <c r="F3421">
        <v>9.7169599459266998</v>
      </c>
    </row>
    <row r="3422" spans="1:6" x14ac:dyDescent="0.2">
      <c r="A3422">
        <v>736787.65079999994</v>
      </c>
      <c r="B3422">
        <v>-149.597005</v>
      </c>
      <c r="C3422">
        <v>-17.026512</v>
      </c>
      <c r="D3422">
        <v>158.09679905371701</v>
      </c>
      <c r="E3422">
        <v>30.1</v>
      </c>
      <c r="F3422">
        <v>9.7169599459266998</v>
      </c>
    </row>
    <row r="3423" spans="1:6" x14ac:dyDescent="0.2">
      <c r="A3423">
        <v>736787.65079999994</v>
      </c>
      <c r="B3423">
        <v>-149.59699499999999</v>
      </c>
      <c r="C3423">
        <v>-17.026508</v>
      </c>
      <c r="D3423">
        <v>158.09679905371701</v>
      </c>
      <c r="E3423">
        <v>30.1</v>
      </c>
      <c r="F3423">
        <v>9.7169599459266998</v>
      </c>
    </row>
    <row r="3424" spans="1:6" x14ac:dyDescent="0.2">
      <c r="A3424">
        <v>736787.65079999994</v>
      </c>
      <c r="B3424">
        <v>-149.596982</v>
      </c>
      <c r="C3424">
        <v>-17.026499999999999</v>
      </c>
      <c r="D3424">
        <v>158.09679905371701</v>
      </c>
      <c r="E3424">
        <v>30.1</v>
      </c>
      <c r="F3424">
        <v>9.7169599459266998</v>
      </c>
    </row>
    <row r="3425" spans="1:6" x14ac:dyDescent="0.2">
      <c r="A3425">
        <v>736787.65079999994</v>
      </c>
      <c r="B3425">
        <v>-149.59697199999999</v>
      </c>
      <c r="C3425">
        <v>-17.026492999999999</v>
      </c>
      <c r="D3425">
        <v>158.09679905371701</v>
      </c>
      <c r="E3425">
        <v>30.1</v>
      </c>
      <c r="F3425">
        <v>9.7169599459266998</v>
      </c>
    </row>
    <row r="3426" spans="1:6" x14ac:dyDescent="0.2">
      <c r="A3426">
        <v>736787.65079999994</v>
      </c>
      <c r="B3426">
        <v>-149.596959</v>
      </c>
      <c r="C3426">
        <v>-17.026489999999999</v>
      </c>
      <c r="D3426">
        <v>158.09679905371701</v>
      </c>
      <c r="E3426">
        <v>30.1</v>
      </c>
      <c r="F3426">
        <v>9.7169599459266998</v>
      </c>
    </row>
    <row r="3427" spans="1:6" x14ac:dyDescent="0.2">
      <c r="A3427">
        <v>736787.65079999994</v>
      </c>
      <c r="B3427">
        <v>-149.596947</v>
      </c>
      <c r="C3427">
        <v>-17.026479999999999</v>
      </c>
      <c r="D3427">
        <v>158.09679905371701</v>
      </c>
      <c r="E3427">
        <v>30.1</v>
      </c>
      <c r="F3427">
        <v>9.7169599459266998</v>
      </c>
    </row>
    <row r="3428" spans="1:6" x14ac:dyDescent="0.2">
      <c r="A3428">
        <v>736787.65079999994</v>
      </c>
      <c r="B3428">
        <v>-149.59693899999999</v>
      </c>
      <c r="C3428">
        <v>-17.026468000000001</v>
      </c>
      <c r="D3428">
        <v>158.09679905371701</v>
      </c>
      <c r="E3428">
        <v>30.1</v>
      </c>
      <c r="F3428">
        <v>9.7169599459266998</v>
      </c>
    </row>
    <row r="3429" spans="1:6" x14ac:dyDescent="0.2">
      <c r="A3429">
        <v>736787.65079999994</v>
      </c>
      <c r="B3429">
        <v>-149.596925</v>
      </c>
      <c r="C3429">
        <v>-17.026458000000002</v>
      </c>
      <c r="D3429">
        <v>158.09679905371701</v>
      </c>
      <c r="E3429">
        <v>30.1</v>
      </c>
      <c r="F3429">
        <v>9.7169599459266998</v>
      </c>
    </row>
    <row r="3430" spans="1:6" x14ac:dyDescent="0.2">
      <c r="A3430">
        <v>736787.65090000001</v>
      </c>
      <c r="B3430">
        <v>-149.596915</v>
      </c>
      <c r="C3430">
        <v>-17.026449</v>
      </c>
      <c r="D3430">
        <v>158.484799930799</v>
      </c>
      <c r="E3430">
        <v>30.1</v>
      </c>
      <c r="F3430">
        <v>9.7384799930799009</v>
      </c>
    </row>
    <row r="3431" spans="1:6" x14ac:dyDescent="0.2">
      <c r="A3431">
        <v>736787.65090000001</v>
      </c>
      <c r="B3431">
        <v>-149.59690499999999</v>
      </c>
      <c r="C3431">
        <v>-17.026441999999999</v>
      </c>
      <c r="D3431">
        <v>158.484799930799</v>
      </c>
      <c r="E3431">
        <v>30.1</v>
      </c>
      <c r="F3431">
        <v>9.7384799930799009</v>
      </c>
    </row>
    <row r="3432" spans="1:6" x14ac:dyDescent="0.2">
      <c r="A3432">
        <v>736787.65090000001</v>
      </c>
      <c r="B3432">
        <v>-149.59688700000001</v>
      </c>
      <c r="C3432">
        <v>-17.026434999999999</v>
      </c>
      <c r="D3432">
        <v>158.484799930799</v>
      </c>
      <c r="E3432">
        <v>30.1</v>
      </c>
      <c r="F3432">
        <v>9.7384799930799009</v>
      </c>
    </row>
    <row r="3433" spans="1:6" x14ac:dyDescent="0.2">
      <c r="A3433">
        <v>736787.65090000001</v>
      </c>
      <c r="B3433">
        <v>-149.59687600000001</v>
      </c>
      <c r="C3433">
        <v>-17.026430000000001</v>
      </c>
      <c r="D3433">
        <v>158.484799930799</v>
      </c>
      <c r="E3433">
        <v>30.1</v>
      </c>
      <c r="F3433">
        <v>9.7384799930799009</v>
      </c>
    </row>
    <row r="3434" spans="1:6" x14ac:dyDescent="0.2">
      <c r="A3434">
        <v>736787.65090000001</v>
      </c>
      <c r="B3434">
        <v>-149.59686400000001</v>
      </c>
      <c r="C3434">
        <v>-17.026420999999999</v>
      </c>
      <c r="D3434">
        <v>158.484799930799</v>
      </c>
      <c r="E3434">
        <v>30.1</v>
      </c>
      <c r="F3434">
        <v>9.7384799930799009</v>
      </c>
    </row>
    <row r="3435" spans="1:6" x14ac:dyDescent="0.2">
      <c r="A3435">
        <v>736787.65090000001</v>
      </c>
      <c r="B3435">
        <v>-149.59685500000001</v>
      </c>
      <c r="C3435">
        <v>-17.026416999999999</v>
      </c>
      <c r="D3435">
        <v>158.484799930799</v>
      </c>
      <c r="E3435">
        <v>30.1</v>
      </c>
      <c r="F3435">
        <v>9.7384799930799009</v>
      </c>
    </row>
    <row r="3436" spans="1:6" x14ac:dyDescent="0.2">
      <c r="A3436">
        <v>736787.65099999995</v>
      </c>
      <c r="B3436">
        <v>-149.59683999999999</v>
      </c>
      <c r="C3436">
        <v>-17.026405</v>
      </c>
      <c r="D3436">
        <v>158.04800051498401</v>
      </c>
      <c r="E3436">
        <v>30.1</v>
      </c>
      <c r="F3436">
        <v>9.71240002574919</v>
      </c>
    </row>
    <row r="3437" spans="1:6" x14ac:dyDescent="0.2">
      <c r="A3437">
        <v>736787.65099999995</v>
      </c>
      <c r="B3437">
        <v>-149.59682900000001</v>
      </c>
      <c r="C3437">
        <v>-17.026399000000001</v>
      </c>
      <c r="D3437">
        <v>158.04800051498401</v>
      </c>
      <c r="E3437">
        <v>30.1</v>
      </c>
      <c r="F3437">
        <v>9.71240002574919</v>
      </c>
    </row>
    <row r="3438" spans="1:6" x14ac:dyDescent="0.2">
      <c r="A3438">
        <v>736787.65099999995</v>
      </c>
      <c r="B3438">
        <v>-149.59682000000001</v>
      </c>
      <c r="C3438">
        <v>-17.026392999999999</v>
      </c>
      <c r="D3438">
        <v>158.04800051498401</v>
      </c>
      <c r="E3438">
        <v>30.1</v>
      </c>
      <c r="F3438">
        <v>9.71240002574919</v>
      </c>
    </row>
    <row r="3439" spans="1:6" x14ac:dyDescent="0.2">
      <c r="A3439">
        <v>736787.65099999995</v>
      </c>
      <c r="B3439">
        <v>-149.59681</v>
      </c>
      <c r="C3439">
        <v>-17.026387</v>
      </c>
      <c r="D3439">
        <v>158.04800051498401</v>
      </c>
      <c r="E3439">
        <v>30.1</v>
      </c>
      <c r="F3439">
        <v>9.71240002574919</v>
      </c>
    </row>
    <row r="3440" spans="1:6" x14ac:dyDescent="0.2">
      <c r="A3440">
        <v>736787.65099999995</v>
      </c>
      <c r="B3440">
        <v>-149.5968</v>
      </c>
      <c r="C3440">
        <v>-17.026382000000002</v>
      </c>
      <c r="D3440">
        <v>158.04800051498401</v>
      </c>
      <c r="E3440">
        <v>30.1</v>
      </c>
      <c r="F3440">
        <v>9.71240002574919</v>
      </c>
    </row>
    <row r="3441" spans="1:6" x14ac:dyDescent="0.2">
      <c r="A3441">
        <v>736787.65099999995</v>
      </c>
      <c r="B3441">
        <v>-149.596789</v>
      </c>
      <c r="C3441">
        <v>-17.026378000000001</v>
      </c>
      <c r="D3441">
        <v>158.04800051498401</v>
      </c>
      <c r="E3441">
        <v>30.1</v>
      </c>
      <c r="F3441">
        <v>9.71240002574919</v>
      </c>
    </row>
    <row r="3442" spans="1:6" x14ac:dyDescent="0.2">
      <c r="A3442">
        <v>736787.65099999995</v>
      </c>
      <c r="B3442">
        <v>-149.596778</v>
      </c>
      <c r="C3442">
        <v>-17.026374000000001</v>
      </c>
      <c r="D3442">
        <v>158.04800051498401</v>
      </c>
      <c r="E3442">
        <v>30.1</v>
      </c>
      <c r="F3442">
        <v>9.71240002574919</v>
      </c>
    </row>
    <row r="3443" spans="1:6" x14ac:dyDescent="0.2">
      <c r="A3443">
        <v>736787.65099999995</v>
      </c>
      <c r="B3443">
        <v>-149.596768</v>
      </c>
      <c r="C3443">
        <v>-17.026371999999999</v>
      </c>
      <c r="D3443">
        <v>158.04800051498401</v>
      </c>
      <c r="E3443">
        <v>30.1</v>
      </c>
      <c r="F3443">
        <v>9.71240002574919</v>
      </c>
    </row>
    <row r="3444" spans="1:6" x14ac:dyDescent="0.2">
      <c r="A3444">
        <v>736787.65110000002</v>
      </c>
      <c r="B3444">
        <v>-149.59674200000001</v>
      </c>
      <c r="C3444">
        <v>-17.026371000000001</v>
      </c>
      <c r="D3444">
        <v>156.92719878978801</v>
      </c>
      <c r="E3444">
        <v>30</v>
      </c>
      <c r="F3444">
        <v>9.6591999243617508</v>
      </c>
    </row>
    <row r="3445" spans="1:6" x14ac:dyDescent="0.2">
      <c r="A3445">
        <v>736787.65110000002</v>
      </c>
      <c r="B3445">
        <v>-149.59672599999999</v>
      </c>
      <c r="C3445">
        <v>-17.026368999999999</v>
      </c>
      <c r="D3445">
        <v>156.92719878978801</v>
      </c>
      <c r="E3445">
        <v>30</v>
      </c>
      <c r="F3445">
        <v>9.6591999243617508</v>
      </c>
    </row>
    <row r="3446" spans="1:6" x14ac:dyDescent="0.2">
      <c r="A3446">
        <v>736787.65110000002</v>
      </c>
      <c r="B3446">
        <v>-149.596709</v>
      </c>
      <c r="C3446">
        <v>-17.026371999999999</v>
      </c>
      <c r="D3446">
        <v>156.92719878978801</v>
      </c>
      <c r="E3446">
        <v>30</v>
      </c>
      <c r="F3446">
        <v>9.6591999243617508</v>
      </c>
    </row>
    <row r="3447" spans="1:6" x14ac:dyDescent="0.2">
      <c r="A3447">
        <v>736787.65110000002</v>
      </c>
      <c r="B3447">
        <v>-149.59669700000001</v>
      </c>
      <c r="C3447">
        <v>-17.026375999999999</v>
      </c>
      <c r="D3447">
        <v>156.92719878978801</v>
      </c>
      <c r="E3447">
        <v>30</v>
      </c>
      <c r="F3447">
        <v>9.6591999243617508</v>
      </c>
    </row>
    <row r="3448" spans="1:6" x14ac:dyDescent="0.2">
      <c r="A3448">
        <v>736787.65110000002</v>
      </c>
      <c r="B3448">
        <v>-149.59668500000001</v>
      </c>
      <c r="C3448">
        <v>-17.026382000000002</v>
      </c>
      <c r="D3448">
        <v>156.92719878978801</v>
      </c>
      <c r="E3448">
        <v>30</v>
      </c>
      <c r="F3448">
        <v>9.6591999243617508</v>
      </c>
    </row>
    <row r="3449" spans="1:6" x14ac:dyDescent="0.2">
      <c r="A3449">
        <v>736787.65110000002</v>
      </c>
      <c r="B3449">
        <v>-149.59667200000001</v>
      </c>
      <c r="C3449">
        <v>-17.026384</v>
      </c>
      <c r="D3449">
        <v>156.92719878978801</v>
      </c>
      <c r="E3449">
        <v>30</v>
      </c>
      <c r="F3449">
        <v>9.6591999243617508</v>
      </c>
    </row>
    <row r="3450" spans="1:6" x14ac:dyDescent="0.2">
      <c r="A3450">
        <v>736787.65110000002</v>
      </c>
      <c r="B3450">
        <v>-149.59666000000001</v>
      </c>
      <c r="C3450">
        <v>-17.026385000000001</v>
      </c>
      <c r="D3450">
        <v>156.92719878978801</v>
      </c>
      <c r="E3450">
        <v>30</v>
      </c>
      <c r="F3450">
        <v>9.6591999243617508</v>
      </c>
    </row>
    <row r="3451" spans="1:6" x14ac:dyDescent="0.2">
      <c r="A3451">
        <v>736787.65110000002</v>
      </c>
      <c r="B3451">
        <v>-149.59664799999999</v>
      </c>
      <c r="C3451">
        <v>-17.026392999999999</v>
      </c>
      <c r="D3451">
        <v>156.92719878978801</v>
      </c>
      <c r="E3451">
        <v>30</v>
      </c>
      <c r="F3451">
        <v>9.6591999243617508</v>
      </c>
    </row>
    <row r="3452" spans="1:6" x14ac:dyDescent="0.2">
      <c r="A3452">
        <v>736787.65119999996</v>
      </c>
      <c r="B3452">
        <v>-149.59663599999999</v>
      </c>
      <c r="C3452">
        <v>-17.026396999999999</v>
      </c>
      <c r="D3452">
        <v>155.9</v>
      </c>
      <c r="E3452">
        <v>30.033599945282901</v>
      </c>
      <c r="F3452">
        <v>9.5866400054717094</v>
      </c>
    </row>
    <row r="3453" spans="1:6" x14ac:dyDescent="0.2">
      <c r="A3453">
        <v>736787.65119999996</v>
      </c>
      <c r="B3453">
        <v>-149.59662499999999</v>
      </c>
      <c r="C3453">
        <v>-17.026395000000001</v>
      </c>
      <c r="D3453">
        <v>155.9</v>
      </c>
      <c r="E3453">
        <v>30.033599945282901</v>
      </c>
      <c r="F3453">
        <v>9.5866400054717094</v>
      </c>
    </row>
    <row r="3454" spans="1:6" x14ac:dyDescent="0.2">
      <c r="A3454">
        <v>736787.65119999996</v>
      </c>
      <c r="B3454">
        <v>-149.59660400000001</v>
      </c>
      <c r="C3454">
        <v>-17.026392000000001</v>
      </c>
      <c r="D3454">
        <v>155.9</v>
      </c>
      <c r="E3454">
        <v>30.033599945282901</v>
      </c>
      <c r="F3454">
        <v>9.5866400054717094</v>
      </c>
    </row>
    <row r="3455" spans="1:6" x14ac:dyDescent="0.2">
      <c r="A3455">
        <v>736787.65119999996</v>
      </c>
      <c r="B3455">
        <v>-149.596586</v>
      </c>
      <c r="C3455">
        <v>-17.026385999999999</v>
      </c>
      <c r="D3455">
        <v>155.9</v>
      </c>
      <c r="E3455">
        <v>30.033599945282901</v>
      </c>
      <c r="F3455">
        <v>9.5866400054717094</v>
      </c>
    </row>
    <row r="3456" spans="1:6" x14ac:dyDescent="0.2">
      <c r="A3456">
        <v>736787.65119999996</v>
      </c>
      <c r="B3456">
        <v>-149.59657300000001</v>
      </c>
      <c r="C3456">
        <v>-17.02638</v>
      </c>
      <c r="D3456">
        <v>155.9</v>
      </c>
      <c r="E3456">
        <v>30.033599945282901</v>
      </c>
      <c r="F3456">
        <v>9.5866400054717094</v>
      </c>
    </row>
    <row r="3457" spans="1:6" x14ac:dyDescent="0.2">
      <c r="A3457">
        <v>736787.65130000003</v>
      </c>
      <c r="B3457">
        <v>-149.59655900000001</v>
      </c>
      <c r="C3457">
        <v>-17.026371000000001</v>
      </c>
      <c r="D3457">
        <v>156.31280016415101</v>
      </c>
      <c r="E3457">
        <v>30.1</v>
      </c>
      <c r="F3457">
        <v>9.6106400082075503</v>
      </c>
    </row>
    <row r="3458" spans="1:6" x14ac:dyDescent="0.2">
      <c r="A3458">
        <v>736787.65130000003</v>
      </c>
      <c r="B3458">
        <v>-149.59654599999999</v>
      </c>
      <c r="C3458">
        <v>-17.026367</v>
      </c>
      <c r="D3458">
        <v>156.31280016415101</v>
      </c>
      <c r="E3458">
        <v>30.1</v>
      </c>
      <c r="F3458">
        <v>9.6106400082075503</v>
      </c>
    </row>
    <row r="3459" spans="1:6" x14ac:dyDescent="0.2">
      <c r="A3459">
        <v>736787.65130000003</v>
      </c>
      <c r="B3459">
        <v>-149.59653900000001</v>
      </c>
      <c r="C3459">
        <v>-17.026356</v>
      </c>
      <c r="D3459">
        <v>156.31280016415101</v>
      </c>
      <c r="E3459">
        <v>30.1</v>
      </c>
      <c r="F3459">
        <v>9.6106400082075503</v>
      </c>
    </row>
    <row r="3460" spans="1:6" x14ac:dyDescent="0.2">
      <c r="A3460">
        <v>736787.65130000003</v>
      </c>
      <c r="B3460">
        <v>-149.596529</v>
      </c>
      <c r="C3460">
        <v>-17.026346</v>
      </c>
      <c r="D3460">
        <v>156.31280016415101</v>
      </c>
      <c r="E3460">
        <v>30.1</v>
      </c>
      <c r="F3460">
        <v>9.6106400082075503</v>
      </c>
    </row>
    <row r="3461" spans="1:6" x14ac:dyDescent="0.2">
      <c r="A3461">
        <v>736787.65130000003</v>
      </c>
      <c r="B3461">
        <v>-149.59652299999999</v>
      </c>
      <c r="C3461">
        <v>-17.026326999999998</v>
      </c>
      <c r="D3461">
        <v>156.31280016415101</v>
      </c>
      <c r="E3461">
        <v>30.1</v>
      </c>
      <c r="F3461">
        <v>9.6106400082075503</v>
      </c>
    </row>
    <row r="3462" spans="1:6" x14ac:dyDescent="0.2">
      <c r="A3462">
        <v>736787.65130000003</v>
      </c>
      <c r="B3462">
        <v>-149.59651400000001</v>
      </c>
      <c r="C3462">
        <v>-17.026316999999999</v>
      </c>
      <c r="D3462">
        <v>156.31280016415101</v>
      </c>
      <c r="E3462">
        <v>30.1</v>
      </c>
      <c r="F3462">
        <v>9.6106400082075503</v>
      </c>
    </row>
    <row r="3463" spans="1:6" x14ac:dyDescent="0.2">
      <c r="A3463">
        <v>736787.65130000003</v>
      </c>
      <c r="B3463">
        <v>-149.59650500000001</v>
      </c>
      <c r="C3463">
        <v>-17.026309999999999</v>
      </c>
      <c r="D3463">
        <v>156.31280016415101</v>
      </c>
      <c r="E3463">
        <v>30.1</v>
      </c>
      <c r="F3463">
        <v>9.6106400082075503</v>
      </c>
    </row>
    <row r="3464" spans="1:6" x14ac:dyDescent="0.2">
      <c r="A3464">
        <v>736787.65139999997</v>
      </c>
      <c r="B3464">
        <v>-149.59649300000001</v>
      </c>
      <c r="C3464">
        <v>-17.026305000000001</v>
      </c>
      <c r="D3464">
        <v>156.420800115871</v>
      </c>
      <c r="E3464">
        <v>30.1</v>
      </c>
      <c r="F3464">
        <v>9.6120800115871408</v>
      </c>
    </row>
    <row r="3465" spans="1:6" x14ac:dyDescent="0.2">
      <c r="A3465">
        <v>736787.65139999997</v>
      </c>
      <c r="B3465">
        <v>-149.59648100000001</v>
      </c>
      <c r="C3465">
        <v>-17.026295999999999</v>
      </c>
      <c r="D3465">
        <v>156.420800115871</v>
      </c>
      <c r="E3465">
        <v>30.1</v>
      </c>
      <c r="F3465">
        <v>9.6120800115871408</v>
      </c>
    </row>
    <row r="3466" spans="1:6" x14ac:dyDescent="0.2">
      <c r="A3466">
        <v>736787.65139999997</v>
      </c>
      <c r="B3466">
        <v>-149.59647000000001</v>
      </c>
      <c r="C3466">
        <v>-17.026284</v>
      </c>
      <c r="D3466">
        <v>156.420800115871</v>
      </c>
      <c r="E3466">
        <v>30.1</v>
      </c>
      <c r="F3466">
        <v>9.6120800115871408</v>
      </c>
    </row>
    <row r="3467" spans="1:6" x14ac:dyDescent="0.2">
      <c r="A3467">
        <v>736787.65139999997</v>
      </c>
      <c r="B3467">
        <v>-149.59646000000001</v>
      </c>
      <c r="C3467">
        <v>-17.026274000000001</v>
      </c>
      <c r="D3467">
        <v>156.420800115871</v>
      </c>
      <c r="E3467">
        <v>30.1</v>
      </c>
      <c r="F3467">
        <v>9.6120800115871408</v>
      </c>
    </row>
    <row r="3468" spans="1:6" x14ac:dyDescent="0.2">
      <c r="A3468">
        <v>736787.65139999997</v>
      </c>
      <c r="B3468">
        <v>-149.59644599999999</v>
      </c>
      <c r="C3468">
        <v>-17.026260000000001</v>
      </c>
      <c r="D3468">
        <v>156.420800115871</v>
      </c>
      <c r="E3468">
        <v>30.1</v>
      </c>
      <c r="F3468">
        <v>9.6120800115871408</v>
      </c>
    </row>
    <row r="3469" spans="1:6" x14ac:dyDescent="0.2">
      <c r="A3469">
        <v>736787.65150000004</v>
      </c>
      <c r="B3469">
        <v>-149.59643600000001</v>
      </c>
      <c r="C3469">
        <v>-17.026254000000002</v>
      </c>
      <c r="D3469">
        <v>156.55200008851301</v>
      </c>
      <c r="E3469">
        <v>30.1</v>
      </c>
      <c r="F3469">
        <v>9.6199999999999992</v>
      </c>
    </row>
    <row r="3470" spans="1:6" x14ac:dyDescent="0.2">
      <c r="A3470">
        <v>736787.65150000004</v>
      </c>
      <c r="B3470">
        <v>-149.59642299999999</v>
      </c>
      <c r="C3470">
        <v>-17.026251999999999</v>
      </c>
      <c r="D3470">
        <v>156.55200008851301</v>
      </c>
      <c r="E3470">
        <v>30.1</v>
      </c>
      <c r="F3470">
        <v>9.6199999999999992</v>
      </c>
    </row>
    <row r="3471" spans="1:6" x14ac:dyDescent="0.2">
      <c r="A3471">
        <v>736787.65150000004</v>
      </c>
      <c r="B3471">
        <v>-149.59641400000001</v>
      </c>
      <c r="C3471">
        <v>-17.026246</v>
      </c>
      <c r="D3471">
        <v>156.55200008851301</v>
      </c>
      <c r="E3471">
        <v>30.1</v>
      </c>
      <c r="F3471">
        <v>9.6199999999999992</v>
      </c>
    </row>
    <row r="3472" spans="1:6" x14ac:dyDescent="0.2">
      <c r="A3472">
        <v>736787.65150000004</v>
      </c>
      <c r="B3472">
        <v>-149.59639799999999</v>
      </c>
      <c r="C3472">
        <v>-17.026233999999999</v>
      </c>
      <c r="D3472">
        <v>156.55200008851301</v>
      </c>
      <c r="E3472">
        <v>30.1</v>
      </c>
      <c r="F3472">
        <v>9.6199999999999992</v>
      </c>
    </row>
    <row r="3473" spans="1:6" x14ac:dyDescent="0.2">
      <c r="A3473">
        <v>736787.65150000004</v>
      </c>
      <c r="B3473">
        <v>-149.59638200000001</v>
      </c>
      <c r="C3473">
        <v>-17.026226000000001</v>
      </c>
      <c r="D3473">
        <v>156.55200008851301</v>
      </c>
      <c r="E3473">
        <v>30.1</v>
      </c>
      <c r="F3473">
        <v>9.6199999999999992</v>
      </c>
    </row>
    <row r="3474" spans="1:6" x14ac:dyDescent="0.2">
      <c r="A3474">
        <v>736787.65159999998</v>
      </c>
      <c r="B3474">
        <v>-149.59637000000001</v>
      </c>
      <c r="C3474">
        <v>-17.026214</v>
      </c>
      <c r="D3474">
        <v>157.19999999999999</v>
      </c>
      <c r="E3474">
        <v>30.2</v>
      </c>
      <c r="F3474">
        <v>9.65</v>
      </c>
    </row>
    <row r="3475" spans="1:6" x14ac:dyDescent="0.2">
      <c r="A3475">
        <v>736787.65159999998</v>
      </c>
      <c r="B3475">
        <v>-149.59636</v>
      </c>
      <c r="C3475">
        <v>-17.026208</v>
      </c>
      <c r="D3475">
        <v>157.19999999999999</v>
      </c>
      <c r="E3475">
        <v>30.2</v>
      </c>
      <c r="F3475">
        <v>9.65</v>
      </c>
    </row>
    <row r="3476" spans="1:6" x14ac:dyDescent="0.2">
      <c r="A3476">
        <v>736787.65159999998</v>
      </c>
      <c r="B3476">
        <v>-149.596351</v>
      </c>
      <c r="C3476">
        <v>-17.026202000000001</v>
      </c>
      <c r="D3476">
        <v>157.19999999999999</v>
      </c>
      <c r="E3476">
        <v>30.2</v>
      </c>
      <c r="F3476">
        <v>9.65</v>
      </c>
    </row>
    <row r="3477" spans="1:6" x14ac:dyDescent="0.2">
      <c r="A3477">
        <v>736787.65159999998</v>
      </c>
      <c r="B3477">
        <v>-149.59634399999999</v>
      </c>
      <c r="C3477">
        <v>-17.026194</v>
      </c>
      <c r="D3477">
        <v>157.19999999999999</v>
      </c>
      <c r="E3477">
        <v>30.2</v>
      </c>
      <c r="F3477">
        <v>9.65</v>
      </c>
    </row>
    <row r="3478" spans="1:6" x14ac:dyDescent="0.2">
      <c r="A3478">
        <v>736787.65159999998</v>
      </c>
      <c r="B3478">
        <v>-149.59633500000001</v>
      </c>
      <c r="C3478">
        <v>-17.026188000000001</v>
      </c>
      <c r="D3478">
        <v>157.19999999999999</v>
      </c>
      <c r="E3478">
        <v>30.2</v>
      </c>
      <c r="F3478">
        <v>9.65</v>
      </c>
    </row>
    <row r="3479" spans="1:6" x14ac:dyDescent="0.2">
      <c r="A3479">
        <v>736787.65159999998</v>
      </c>
      <c r="B3479">
        <v>-149.59632999999999</v>
      </c>
      <c r="C3479">
        <v>-17.026178000000002</v>
      </c>
      <c r="D3479">
        <v>157.19999999999999</v>
      </c>
      <c r="E3479">
        <v>30.2</v>
      </c>
      <c r="F3479">
        <v>9.65</v>
      </c>
    </row>
    <row r="3480" spans="1:6" x14ac:dyDescent="0.2">
      <c r="A3480">
        <v>736787.65159999998</v>
      </c>
      <c r="B3480">
        <v>-149.596329</v>
      </c>
      <c r="C3480">
        <v>-17.026166</v>
      </c>
      <c r="D3480">
        <v>157.19999999999999</v>
      </c>
      <c r="E3480">
        <v>30.2</v>
      </c>
      <c r="F3480">
        <v>9.65</v>
      </c>
    </row>
    <row r="3481" spans="1:6" x14ac:dyDescent="0.2">
      <c r="A3481">
        <v>736787.65159999998</v>
      </c>
      <c r="B3481">
        <v>-149.59632400000001</v>
      </c>
      <c r="C3481">
        <v>-17.026156</v>
      </c>
      <c r="D3481">
        <v>157.19999999999999</v>
      </c>
      <c r="E3481">
        <v>30.2</v>
      </c>
      <c r="F3481">
        <v>9.65</v>
      </c>
    </row>
    <row r="3482" spans="1:6" x14ac:dyDescent="0.2">
      <c r="A3482">
        <v>736787.65159999998</v>
      </c>
      <c r="B3482">
        <v>-149.59631999999999</v>
      </c>
      <c r="C3482">
        <v>-17.026142</v>
      </c>
      <c r="D3482">
        <v>157.19999999999999</v>
      </c>
      <c r="E3482">
        <v>30.2</v>
      </c>
      <c r="F3482">
        <v>9.65</v>
      </c>
    </row>
    <row r="3483" spans="1:6" x14ac:dyDescent="0.2">
      <c r="A3483">
        <v>736787.65170000005</v>
      </c>
      <c r="B3483">
        <v>-149.59631300000001</v>
      </c>
      <c r="C3483">
        <v>-17.026129999999998</v>
      </c>
      <c r="D3483">
        <v>157.49280028485001</v>
      </c>
      <c r="E3483">
        <v>30.2</v>
      </c>
      <c r="F3483">
        <v>9.6695200189900294</v>
      </c>
    </row>
    <row r="3484" spans="1:6" x14ac:dyDescent="0.2">
      <c r="A3484">
        <v>736787.65170000005</v>
      </c>
      <c r="B3484">
        <v>-149.59630899999999</v>
      </c>
      <c r="C3484">
        <v>-17.026119999999999</v>
      </c>
      <c r="D3484">
        <v>157.49280028485001</v>
      </c>
      <c r="E3484">
        <v>30.2</v>
      </c>
      <c r="F3484">
        <v>9.6695200189900294</v>
      </c>
    </row>
    <row r="3485" spans="1:6" x14ac:dyDescent="0.2">
      <c r="A3485">
        <v>736787.65170000005</v>
      </c>
      <c r="B3485">
        <v>-149.596306</v>
      </c>
      <c r="C3485">
        <v>-17.026102999999999</v>
      </c>
      <c r="D3485">
        <v>157.49280028485001</v>
      </c>
      <c r="E3485">
        <v>30.2</v>
      </c>
      <c r="F3485">
        <v>9.6695200189900294</v>
      </c>
    </row>
    <row r="3486" spans="1:6" x14ac:dyDescent="0.2">
      <c r="A3486">
        <v>736787.65170000005</v>
      </c>
      <c r="B3486">
        <v>-149.59629799999999</v>
      </c>
      <c r="C3486">
        <v>-17.02609</v>
      </c>
      <c r="D3486">
        <v>157.49280028485001</v>
      </c>
      <c r="E3486">
        <v>30.2</v>
      </c>
      <c r="F3486">
        <v>9.6695200189900294</v>
      </c>
    </row>
    <row r="3487" spans="1:6" x14ac:dyDescent="0.2">
      <c r="A3487">
        <v>736787.65170000005</v>
      </c>
      <c r="B3487">
        <v>-149.596293</v>
      </c>
      <c r="C3487">
        <v>-17.026070000000001</v>
      </c>
      <c r="D3487">
        <v>157.49280028485001</v>
      </c>
      <c r="E3487">
        <v>30.2</v>
      </c>
      <c r="F3487">
        <v>9.6695200189900294</v>
      </c>
    </row>
    <row r="3488" spans="1:6" x14ac:dyDescent="0.2">
      <c r="A3488">
        <v>736787.65170000005</v>
      </c>
      <c r="B3488">
        <v>-149.59628699999999</v>
      </c>
      <c r="C3488">
        <v>-17.026056000000001</v>
      </c>
      <c r="D3488">
        <v>157.49280028485001</v>
      </c>
      <c r="E3488">
        <v>30.2</v>
      </c>
      <c r="F3488">
        <v>9.6695200189900294</v>
      </c>
    </row>
    <row r="3489" spans="1:6" x14ac:dyDescent="0.2">
      <c r="A3489">
        <v>736787.65170000005</v>
      </c>
      <c r="B3489">
        <v>-149.59628000000001</v>
      </c>
      <c r="C3489">
        <v>-17.026046000000001</v>
      </c>
      <c r="D3489">
        <v>157.49280028485001</v>
      </c>
      <c r="E3489">
        <v>30.2</v>
      </c>
      <c r="F3489">
        <v>9.6695200189900294</v>
      </c>
    </row>
    <row r="3490" spans="1:6" x14ac:dyDescent="0.2">
      <c r="A3490">
        <v>736787.65170000005</v>
      </c>
      <c r="B3490">
        <v>-149.596272</v>
      </c>
      <c r="C3490">
        <v>-17.026033999999999</v>
      </c>
      <c r="D3490">
        <v>157.49280028485001</v>
      </c>
      <c r="E3490">
        <v>30.2</v>
      </c>
      <c r="F3490">
        <v>9.6695200189900294</v>
      </c>
    </row>
    <row r="3491" spans="1:6" x14ac:dyDescent="0.2">
      <c r="A3491">
        <v>736787.65179999999</v>
      </c>
      <c r="B3491">
        <v>-149.59626600000001</v>
      </c>
      <c r="C3491">
        <v>-17.026026000000002</v>
      </c>
      <c r="D3491">
        <v>159.5</v>
      </c>
      <c r="E3491">
        <v>30.270400038623901</v>
      </c>
      <c r="F3491">
        <v>9.7729599961376099</v>
      </c>
    </row>
    <row r="3492" spans="1:6" x14ac:dyDescent="0.2">
      <c r="A3492">
        <v>736787.65179999999</v>
      </c>
      <c r="B3492">
        <v>-149.596261</v>
      </c>
      <c r="C3492">
        <v>-17.026012000000001</v>
      </c>
      <c r="D3492">
        <v>159.5</v>
      </c>
      <c r="E3492">
        <v>30.270400038623901</v>
      </c>
      <c r="F3492">
        <v>9.7729599961376099</v>
      </c>
    </row>
    <row r="3493" spans="1:6" x14ac:dyDescent="0.2">
      <c r="A3493">
        <v>736787.65179999999</v>
      </c>
      <c r="B3493">
        <v>-149.59625199999999</v>
      </c>
      <c r="C3493">
        <v>-17.026001999999998</v>
      </c>
      <c r="D3493">
        <v>159.5</v>
      </c>
      <c r="E3493">
        <v>30.270400038623901</v>
      </c>
      <c r="F3493">
        <v>9.7729599961376099</v>
      </c>
    </row>
    <row r="3494" spans="1:6" x14ac:dyDescent="0.2">
      <c r="A3494">
        <v>736787.65179999999</v>
      </c>
      <c r="B3494">
        <v>-149.59623999999999</v>
      </c>
      <c r="C3494">
        <v>-17.025986</v>
      </c>
      <c r="D3494">
        <v>159.5</v>
      </c>
      <c r="E3494">
        <v>30.270400038623901</v>
      </c>
      <c r="F3494">
        <v>9.7729599961376099</v>
      </c>
    </row>
    <row r="3495" spans="1:6" x14ac:dyDescent="0.2">
      <c r="A3495">
        <v>736787.65179999999</v>
      </c>
      <c r="B3495">
        <v>-149.596227</v>
      </c>
      <c r="C3495">
        <v>-17.025971999999999</v>
      </c>
      <c r="D3495">
        <v>159.5</v>
      </c>
      <c r="E3495">
        <v>30.270400038623901</v>
      </c>
      <c r="F3495">
        <v>9.7729599961376099</v>
      </c>
    </row>
    <row r="3496" spans="1:6" x14ac:dyDescent="0.2">
      <c r="A3496">
        <v>736787.65179999999</v>
      </c>
      <c r="B3496">
        <v>-149.59622400000001</v>
      </c>
      <c r="C3496">
        <v>-17.025960000000001</v>
      </c>
      <c r="D3496">
        <v>159.5</v>
      </c>
      <c r="E3496">
        <v>30.270400038623901</v>
      </c>
      <c r="F3496">
        <v>9.7729599961376099</v>
      </c>
    </row>
    <row r="3497" spans="1:6" x14ac:dyDescent="0.2">
      <c r="A3497">
        <v>736787.65179999999</v>
      </c>
      <c r="B3497">
        <v>-149.596216</v>
      </c>
      <c r="C3497">
        <v>-17.025950000000002</v>
      </c>
      <c r="D3497">
        <v>159.5</v>
      </c>
      <c r="E3497">
        <v>30.270400038623901</v>
      </c>
      <c r="F3497">
        <v>9.7729599961376099</v>
      </c>
    </row>
    <row r="3498" spans="1:6" x14ac:dyDescent="0.2">
      <c r="A3498">
        <v>736787.65190000006</v>
      </c>
      <c r="B3498">
        <v>-149.596204</v>
      </c>
      <c r="C3498">
        <v>-17.025936000000002</v>
      </c>
      <c r="D3498">
        <v>162.28880091248701</v>
      </c>
      <c r="E3498">
        <v>30.3</v>
      </c>
      <c r="F3498">
        <v>9.9416000506937205</v>
      </c>
    </row>
    <row r="3499" spans="1:6" x14ac:dyDescent="0.2">
      <c r="A3499">
        <v>736787.65190000006</v>
      </c>
      <c r="B3499">
        <v>-149.59619599999999</v>
      </c>
      <c r="C3499">
        <v>-17.025928</v>
      </c>
      <c r="D3499">
        <v>162.28880091248701</v>
      </c>
      <c r="E3499">
        <v>30.3</v>
      </c>
      <c r="F3499">
        <v>9.9416000506937205</v>
      </c>
    </row>
    <row r="3500" spans="1:6" x14ac:dyDescent="0.2">
      <c r="A3500">
        <v>736787.65190000006</v>
      </c>
      <c r="B3500">
        <v>-149.596183</v>
      </c>
      <c r="C3500">
        <v>-17.025919999999999</v>
      </c>
      <c r="D3500">
        <v>162.28880091248701</v>
      </c>
      <c r="E3500">
        <v>30.3</v>
      </c>
      <c r="F3500">
        <v>9.9416000506937205</v>
      </c>
    </row>
    <row r="3501" spans="1:6" x14ac:dyDescent="0.2">
      <c r="A3501">
        <v>736787.65190000006</v>
      </c>
      <c r="B3501">
        <v>-149.59617499999999</v>
      </c>
      <c r="C3501">
        <v>-17.02591</v>
      </c>
      <c r="D3501">
        <v>162.28880091248701</v>
      </c>
      <c r="E3501">
        <v>30.3</v>
      </c>
      <c r="F3501">
        <v>9.9416000506937205</v>
      </c>
    </row>
    <row r="3502" spans="1:6" x14ac:dyDescent="0.2">
      <c r="A3502">
        <v>736787.65190000006</v>
      </c>
      <c r="B3502">
        <v>-149.596169</v>
      </c>
      <c r="C3502">
        <v>-17.025891999999999</v>
      </c>
      <c r="D3502">
        <v>162.28880091248701</v>
      </c>
      <c r="E3502">
        <v>30.3</v>
      </c>
      <c r="F3502">
        <v>9.9416000506937205</v>
      </c>
    </row>
    <row r="3503" spans="1:6" x14ac:dyDescent="0.2">
      <c r="A3503">
        <v>736787.65190000006</v>
      </c>
      <c r="B3503">
        <v>-149.59616299999999</v>
      </c>
      <c r="C3503">
        <v>-17.025877999999999</v>
      </c>
      <c r="D3503">
        <v>162.28880091248701</v>
      </c>
      <c r="E3503">
        <v>30.3</v>
      </c>
      <c r="F3503">
        <v>9.9416000506937205</v>
      </c>
    </row>
    <row r="3504" spans="1:6" x14ac:dyDescent="0.2">
      <c r="A3504">
        <v>736787.65190000006</v>
      </c>
      <c r="B3504">
        <v>-149.59614999999999</v>
      </c>
      <c r="C3504">
        <v>-17.025862</v>
      </c>
      <c r="D3504">
        <v>162.28880091248701</v>
      </c>
      <c r="E3504">
        <v>30.3</v>
      </c>
      <c r="F3504">
        <v>9.9416000506937205</v>
      </c>
    </row>
    <row r="3505" spans="1:6" x14ac:dyDescent="0.2">
      <c r="A3505">
        <v>736787.65190000006</v>
      </c>
      <c r="B3505">
        <v>-149.59614300000001</v>
      </c>
      <c r="C3505">
        <v>-17.025846999999999</v>
      </c>
      <c r="D3505">
        <v>162.28880091248701</v>
      </c>
      <c r="E3505">
        <v>30.3</v>
      </c>
      <c r="F3505">
        <v>9.9416000506937205</v>
      </c>
    </row>
    <row r="3506" spans="1:6" x14ac:dyDescent="0.2">
      <c r="A3506">
        <v>736787.652</v>
      </c>
      <c r="B3506">
        <v>-149.59613999999999</v>
      </c>
      <c r="C3506">
        <v>-17.025838</v>
      </c>
      <c r="D3506">
        <v>162.672000514985</v>
      </c>
      <c r="E3506">
        <v>30.3</v>
      </c>
      <c r="F3506">
        <v>9.9720000321865498</v>
      </c>
    </row>
    <row r="3507" spans="1:6" x14ac:dyDescent="0.2">
      <c r="A3507">
        <v>736787.652</v>
      </c>
      <c r="B3507">
        <v>-149.596135</v>
      </c>
      <c r="C3507">
        <v>-17.025829999999999</v>
      </c>
      <c r="D3507">
        <v>162.672000514985</v>
      </c>
      <c r="E3507">
        <v>30.3</v>
      </c>
      <c r="F3507">
        <v>9.9720000321865498</v>
      </c>
    </row>
    <row r="3508" spans="1:6" x14ac:dyDescent="0.2">
      <c r="A3508">
        <v>736787.652</v>
      </c>
      <c r="B3508">
        <v>-149.59613200000001</v>
      </c>
      <c r="C3508">
        <v>-17.025814</v>
      </c>
      <c r="D3508">
        <v>162.672000514985</v>
      </c>
      <c r="E3508">
        <v>30.3</v>
      </c>
      <c r="F3508">
        <v>9.9720000321865498</v>
      </c>
    </row>
    <row r="3509" spans="1:6" x14ac:dyDescent="0.2">
      <c r="A3509">
        <v>736787.652</v>
      </c>
      <c r="B3509">
        <v>-149.59613300000001</v>
      </c>
      <c r="C3509">
        <v>-17.025804000000001</v>
      </c>
      <c r="D3509">
        <v>162.672000514985</v>
      </c>
      <c r="E3509">
        <v>30.3</v>
      </c>
      <c r="F3509">
        <v>9.9720000321865498</v>
      </c>
    </row>
    <row r="3510" spans="1:6" x14ac:dyDescent="0.2">
      <c r="A3510">
        <v>736787.652</v>
      </c>
      <c r="B3510">
        <v>-149.596135</v>
      </c>
      <c r="C3510">
        <v>-17.025794000000001</v>
      </c>
      <c r="D3510">
        <v>162.672000514985</v>
      </c>
      <c r="E3510">
        <v>30.3</v>
      </c>
      <c r="F3510">
        <v>9.9720000321865498</v>
      </c>
    </row>
    <row r="3511" spans="1:6" x14ac:dyDescent="0.2">
      <c r="A3511">
        <v>736787.652</v>
      </c>
      <c r="B3511">
        <v>-149.59612799999999</v>
      </c>
      <c r="C3511">
        <v>-17.025782</v>
      </c>
      <c r="D3511">
        <v>162.672000514985</v>
      </c>
      <c r="E3511">
        <v>30.3</v>
      </c>
      <c r="F3511">
        <v>9.9720000321865498</v>
      </c>
    </row>
    <row r="3512" spans="1:6" x14ac:dyDescent="0.2">
      <c r="A3512">
        <v>736787.652</v>
      </c>
      <c r="B3512">
        <v>-149.59612100000001</v>
      </c>
      <c r="C3512">
        <v>-17.025770000000001</v>
      </c>
      <c r="D3512">
        <v>162.672000514985</v>
      </c>
      <c r="E3512">
        <v>30.3</v>
      </c>
      <c r="F3512">
        <v>9.9720000321865498</v>
      </c>
    </row>
    <row r="3513" spans="1:6" x14ac:dyDescent="0.2">
      <c r="A3513">
        <v>736787.652</v>
      </c>
      <c r="B3513">
        <v>-149.596114</v>
      </c>
      <c r="C3513">
        <v>-17.025752000000001</v>
      </c>
      <c r="D3513">
        <v>162.672000514985</v>
      </c>
      <c r="E3513">
        <v>30.3</v>
      </c>
      <c r="F3513">
        <v>9.9720000321865498</v>
      </c>
    </row>
    <row r="3514" spans="1:6" x14ac:dyDescent="0.2">
      <c r="A3514">
        <v>736787.65209999995</v>
      </c>
      <c r="B3514">
        <v>-149.59610499999999</v>
      </c>
      <c r="C3514">
        <v>-17.025739999999999</v>
      </c>
      <c r="D3514">
        <v>162</v>
      </c>
      <c r="E3514">
        <v>30.3</v>
      </c>
      <c r="F3514">
        <v>9.93</v>
      </c>
    </row>
    <row r="3515" spans="1:6" x14ac:dyDescent="0.2">
      <c r="A3515">
        <v>736787.65209999995</v>
      </c>
      <c r="B3515">
        <v>-149.59609699999999</v>
      </c>
      <c r="C3515">
        <v>-17.025731</v>
      </c>
      <c r="D3515">
        <v>162</v>
      </c>
      <c r="E3515">
        <v>30.3</v>
      </c>
      <c r="F3515">
        <v>9.93</v>
      </c>
    </row>
    <row r="3516" spans="1:6" x14ac:dyDescent="0.2">
      <c r="A3516">
        <v>736787.65209999995</v>
      </c>
      <c r="B3516">
        <v>-149.59608499999999</v>
      </c>
      <c r="C3516">
        <v>-17.025725000000001</v>
      </c>
      <c r="D3516">
        <v>162</v>
      </c>
      <c r="E3516">
        <v>30.3</v>
      </c>
      <c r="F3516">
        <v>9.93</v>
      </c>
    </row>
    <row r="3517" spans="1:6" x14ac:dyDescent="0.2">
      <c r="A3517">
        <v>736787.65209999995</v>
      </c>
      <c r="B3517">
        <v>-149.59607199999999</v>
      </c>
      <c r="C3517">
        <v>-17.025711999999999</v>
      </c>
      <c r="D3517">
        <v>162</v>
      </c>
      <c r="E3517">
        <v>30.3</v>
      </c>
      <c r="F3517">
        <v>9.93</v>
      </c>
    </row>
    <row r="3518" spans="1:6" x14ac:dyDescent="0.2">
      <c r="A3518">
        <v>736787.65209999995</v>
      </c>
      <c r="B3518">
        <v>-149.59606299999999</v>
      </c>
      <c r="C3518">
        <v>-17.025701999999999</v>
      </c>
      <c r="D3518">
        <v>162</v>
      </c>
      <c r="E3518">
        <v>30.3</v>
      </c>
      <c r="F3518">
        <v>9.93</v>
      </c>
    </row>
    <row r="3519" spans="1:6" x14ac:dyDescent="0.2">
      <c r="A3519">
        <v>736787.65209999995</v>
      </c>
      <c r="B3519">
        <v>-149.59605199999999</v>
      </c>
      <c r="C3519">
        <v>-17.025691999999999</v>
      </c>
      <c r="D3519">
        <v>162</v>
      </c>
      <c r="E3519">
        <v>30.3</v>
      </c>
      <c r="F3519">
        <v>9.93</v>
      </c>
    </row>
    <row r="3520" spans="1:6" x14ac:dyDescent="0.2">
      <c r="A3520">
        <v>736787.65209999995</v>
      </c>
      <c r="B3520">
        <v>-149.596045</v>
      </c>
      <c r="C3520">
        <v>-17.025680999999999</v>
      </c>
      <c r="D3520">
        <v>162</v>
      </c>
      <c r="E3520">
        <v>30.3</v>
      </c>
      <c r="F3520">
        <v>9.93</v>
      </c>
    </row>
    <row r="3521" spans="1:6" x14ac:dyDescent="0.2">
      <c r="A3521">
        <v>736787.65209999995</v>
      </c>
      <c r="B3521">
        <v>-149.59604300000001</v>
      </c>
      <c r="C3521">
        <v>-17.025666999999999</v>
      </c>
      <c r="D3521">
        <v>162</v>
      </c>
      <c r="E3521">
        <v>30.3</v>
      </c>
      <c r="F3521">
        <v>9.93</v>
      </c>
    </row>
    <row r="3522" spans="1:6" x14ac:dyDescent="0.2">
      <c r="A3522">
        <v>736787.65220000001</v>
      </c>
      <c r="B3522">
        <v>-149.596035</v>
      </c>
      <c r="C3522">
        <v>-17.025652999999998</v>
      </c>
      <c r="D3522">
        <v>161.4</v>
      </c>
      <c r="E3522">
        <v>30.3</v>
      </c>
      <c r="F3522">
        <v>9.89</v>
      </c>
    </row>
    <row r="3523" spans="1:6" x14ac:dyDescent="0.2">
      <c r="A3523">
        <v>736787.65220000001</v>
      </c>
      <c r="B3523">
        <v>-149.59603799999999</v>
      </c>
      <c r="C3523">
        <v>-17.025634</v>
      </c>
      <c r="D3523">
        <v>161.4</v>
      </c>
      <c r="E3523">
        <v>30.3</v>
      </c>
      <c r="F3523">
        <v>9.89</v>
      </c>
    </row>
    <row r="3524" spans="1:6" x14ac:dyDescent="0.2">
      <c r="A3524">
        <v>736787.65220000001</v>
      </c>
      <c r="B3524">
        <v>-149.59603200000001</v>
      </c>
      <c r="C3524">
        <v>-17.025617</v>
      </c>
      <c r="D3524">
        <v>161.4</v>
      </c>
      <c r="E3524">
        <v>30.3</v>
      </c>
      <c r="F3524">
        <v>9.89</v>
      </c>
    </row>
    <row r="3525" spans="1:6" x14ac:dyDescent="0.2">
      <c r="A3525">
        <v>736787.65220000001</v>
      </c>
      <c r="B3525">
        <v>-149.59602899999999</v>
      </c>
      <c r="C3525">
        <v>-17.025607000000001</v>
      </c>
      <c r="D3525">
        <v>161.4</v>
      </c>
      <c r="E3525">
        <v>30.3</v>
      </c>
      <c r="F3525">
        <v>9.89</v>
      </c>
    </row>
    <row r="3526" spans="1:6" x14ac:dyDescent="0.2">
      <c r="A3526">
        <v>736787.65220000001</v>
      </c>
      <c r="B3526">
        <v>-149.59602599999999</v>
      </c>
      <c r="C3526">
        <v>-17.025597000000001</v>
      </c>
      <c r="D3526">
        <v>161.4</v>
      </c>
      <c r="E3526">
        <v>30.3</v>
      </c>
      <c r="F3526">
        <v>9.89</v>
      </c>
    </row>
    <row r="3527" spans="1:6" x14ac:dyDescent="0.2">
      <c r="A3527">
        <v>736787.65220000001</v>
      </c>
      <c r="B3527">
        <v>-149.596022</v>
      </c>
      <c r="C3527">
        <v>-17.025583999999998</v>
      </c>
      <c r="D3527">
        <v>161.4</v>
      </c>
      <c r="E3527">
        <v>30.3</v>
      </c>
      <c r="F3527">
        <v>9.89</v>
      </c>
    </row>
    <row r="3528" spans="1:6" x14ac:dyDescent="0.2">
      <c r="A3528">
        <v>736787.65220000001</v>
      </c>
      <c r="B3528">
        <v>-149.596013</v>
      </c>
      <c r="C3528">
        <v>-17.025569999999998</v>
      </c>
      <c r="D3528">
        <v>161.4</v>
      </c>
      <c r="E3528">
        <v>30.3</v>
      </c>
      <c r="F3528">
        <v>9.89</v>
      </c>
    </row>
    <row r="3529" spans="1:6" x14ac:dyDescent="0.2">
      <c r="A3529">
        <v>736787.65229999996</v>
      </c>
      <c r="B3529">
        <v>-149.59601000000001</v>
      </c>
      <c r="C3529">
        <v>-17.025558</v>
      </c>
      <c r="D3529">
        <v>160.38400130355299</v>
      </c>
      <c r="E3529">
        <v>30.2656000869035</v>
      </c>
      <c r="F3529">
        <v>9.8324800695228092</v>
      </c>
    </row>
    <row r="3530" spans="1:6" x14ac:dyDescent="0.2">
      <c r="A3530">
        <v>736787.65229999996</v>
      </c>
      <c r="B3530">
        <v>-149.59600800000001</v>
      </c>
      <c r="C3530">
        <v>-17.025548000000001</v>
      </c>
      <c r="D3530">
        <v>160.38400130355299</v>
      </c>
      <c r="E3530">
        <v>30.2656000869035</v>
      </c>
      <c r="F3530">
        <v>9.8324800695228092</v>
      </c>
    </row>
    <row r="3531" spans="1:6" x14ac:dyDescent="0.2">
      <c r="A3531">
        <v>736787.65229999996</v>
      </c>
      <c r="B3531">
        <v>-149.59599900000001</v>
      </c>
      <c r="C3531">
        <v>-17.025538000000001</v>
      </c>
      <c r="D3531">
        <v>160.38400130355299</v>
      </c>
      <c r="E3531">
        <v>30.2656000869035</v>
      </c>
      <c r="F3531">
        <v>9.8324800695228092</v>
      </c>
    </row>
    <row r="3532" spans="1:6" x14ac:dyDescent="0.2">
      <c r="A3532">
        <v>736787.65229999996</v>
      </c>
      <c r="B3532">
        <v>-149.59599299999999</v>
      </c>
      <c r="C3532">
        <v>-17.025524999999998</v>
      </c>
      <c r="D3532">
        <v>160.38400130355299</v>
      </c>
      <c r="E3532">
        <v>30.2656000869035</v>
      </c>
      <c r="F3532">
        <v>9.8324800695228092</v>
      </c>
    </row>
    <row r="3533" spans="1:6" x14ac:dyDescent="0.2">
      <c r="A3533">
        <v>736787.65229999996</v>
      </c>
      <c r="B3533">
        <v>-149.595989</v>
      </c>
      <c r="C3533">
        <v>-17.025511000000002</v>
      </c>
      <c r="D3533">
        <v>160.38400130355299</v>
      </c>
      <c r="E3533">
        <v>30.2656000869035</v>
      </c>
      <c r="F3533">
        <v>9.8324800695228092</v>
      </c>
    </row>
    <row r="3534" spans="1:6" x14ac:dyDescent="0.2">
      <c r="A3534">
        <v>736787.65229999996</v>
      </c>
      <c r="B3534">
        <v>-149.595979</v>
      </c>
      <c r="C3534">
        <v>-17.025500000000001</v>
      </c>
      <c r="D3534">
        <v>160.38400130355299</v>
      </c>
      <c r="E3534">
        <v>30.2656000869035</v>
      </c>
      <c r="F3534">
        <v>9.8324800695228092</v>
      </c>
    </row>
    <row r="3535" spans="1:6" x14ac:dyDescent="0.2">
      <c r="A3535">
        <v>736787.65229999996</v>
      </c>
      <c r="B3535">
        <v>-149.59597199999999</v>
      </c>
      <c r="C3535">
        <v>-17.025487999999999</v>
      </c>
      <c r="D3535">
        <v>160.38400130355299</v>
      </c>
      <c r="E3535">
        <v>30.2656000869035</v>
      </c>
      <c r="F3535">
        <v>9.8324800695228092</v>
      </c>
    </row>
    <row r="3536" spans="1:6" x14ac:dyDescent="0.2">
      <c r="A3536">
        <v>736787.65229999996</v>
      </c>
      <c r="B3536">
        <v>-149.595966</v>
      </c>
      <c r="C3536">
        <v>-17.025476000000001</v>
      </c>
      <c r="D3536">
        <v>160.38400130355299</v>
      </c>
      <c r="E3536">
        <v>30.2656000869035</v>
      </c>
      <c r="F3536">
        <v>9.8324800695228092</v>
      </c>
    </row>
    <row r="3537" spans="1:6" x14ac:dyDescent="0.2">
      <c r="A3537">
        <v>736787.65229999996</v>
      </c>
      <c r="B3537">
        <v>-149.595957</v>
      </c>
      <c r="C3537">
        <v>-17.025471</v>
      </c>
      <c r="D3537">
        <v>160.38400130355299</v>
      </c>
      <c r="E3537">
        <v>30.2656000869035</v>
      </c>
      <c r="F3537">
        <v>9.8324800695228092</v>
      </c>
    </row>
    <row r="3538" spans="1:6" x14ac:dyDescent="0.2">
      <c r="A3538">
        <v>736787.65240000002</v>
      </c>
      <c r="B3538">
        <v>-149.59595100000001</v>
      </c>
      <c r="C3538">
        <v>-17.025462999999998</v>
      </c>
      <c r="D3538">
        <v>159.32799882519299</v>
      </c>
      <c r="E3538">
        <v>30.2</v>
      </c>
      <c r="F3538">
        <v>9.7756799295115897</v>
      </c>
    </row>
    <row r="3539" spans="1:6" x14ac:dyDescent="0.2">
      <c r="A3539">
        <v>736787.65240000002</v>
      </c>
      <c r="B3539">
        <v>-149.595945</v>
      </c>
      <c r="C3539">
        <v>-17.025454</v>
      </c>
      <c r="D3539">
        <v>159.32799882519299</v>
      </c>
      <c r="E3539">
        <v>30.2</v>
      </c>
      <c r="F3539">
        <v>9.7756799295115897</v>
      </c>
    </row>
    <row r="3540" spans="1:6" x14ac:dyDescent="0.2">
      <c r="A3540">
        <v>736787.65240000002</v>
      </c>
      <c r="B3540">
        <v>-149.595934</v>
      </c>
      <c r="C3540">
        <v>-17.025442999999999</v>
      </c>
      <c r="D3540">
        <v>159.32799882519299</v>
      </c>
      <c r="E3540">
        <v>30.2</v>
      </c>
      <c r="F3540">
        <v>9.7756799295115897</v>
      </c>
    </row>
    <row r="3541" spans="1:6" x14ac:dyDescent="0.2">
      <c r="A3541">
        <v>736787.65240000002</v>
      </c>
      <c r="B3541">
        <v>-149.59592499999999</v>
      </c>
      <c r="C3541">
        <v>-17.025434000000001</v>
      </c>
      <c r="D3541">
        <v>159.32799882519299</v>
      </c>
      <c r="E3541">
        <v>30.2</v>
      </c>
      <c r="F3541">
        <v>9.7756799295115897</v>
      </c>
    </row>
    <row r="3542" spans="1:6" x14ac:dyDescent="0.2">
      <c r="A3542">
        <v>736787.65240000002</v>
      </c>
      <c r="B3542">
        <v>-149.59591900000001</v>
      </c>
      <c r="C3542">
        <v>-17.025424999999998</v>
      </c>
      <c r="D3542">
        <v>159.32799882519299</v>
      </c>
      <c r="E3542">
        <v>30.2</v>
      </c>
      <c r="F3542">
        <v>9.7756799295115897</v>
      </c>
    </row>
    <row r="3543" spans="1:6" x14ac:dyDescent="0.2">
      <c r="A3543">
        <v>736787.65240000002</v>
      </c>
      <c r="B3543">
        <v>-149.595912</v>
      </c>
      <c r="C3543">
        <v>-17.025416</v>
      </c>
      <c r="D3543">
        <v>159.32799882519299</v>
      </c>
      <c r="E3543">
        <v>30.2</v>
      </c>
      <c r="F3543">
        <v>9.7756799295115897</v>
      </c>
    </row>
    <row r="3544" spans="1:6" x14ac:dyDescent="0.2">
      <c r="A3544">
        <v>736787.65240000002</v>
      </c>
      <c r="B3544">
        <v>-149.595902</v>
      </c>
      <c r="C3544">
        <v>-17.025404999999999</v>
      </c>
      <c r="D3544">
        <v>159.32799882519299</v>
      </c>
      <c r="E3544">
        <v>30.2</v>
      </c>
      <c r="F3544">
        <v>9.7756799295115897</v>
      </c>
    </row>
    <row r="3545" spans="1:6" x14ac:dyDescent="0.2">
      <c r="A3545">
        <v>736787.65249999997</v>
      </c>
      <c r="B3545">
        <v>-149.59589700000001</v>
      </c>
      <c r="C3545">
        <v>-17.025395</v>
      </c>
      <c r="D3545">
        <v>157.68000072419599</v>
      </c>
      <c r="E3545">
        <v>30.2</v>
      </c>
      <c r="F3545">
        <v>9.6720000482797293</v>
      </c>
    </row>
    <row r="3546" spans="1:6" x14ac:dyDescent="0.2">
      <c r="A3546">
        <v>736787.65249999997</v>
      </c>
      <c r="B3546">
        <v>-149.59589</v>
      </c>
      <c r="C3546">
        <v>-17.025383000000001</v>
      </c>
      <c r="D3546">
        <v>157.68000072419599</v>
      </c>
      <c r="E3546">
        <v>30.2</v>
      </c>
      <c r="F3546">
        <v>9.6720000482797293</v>
      </c>
    </row>
    <row r="3547" spans="1:6" x14ac:dyDescent="0.2">
      <c r="A3547">
        <v>736787.65249999997</v>
      </c>
      <c r="B3547">
        <v>-149.59588099999999</v>
      </c>
      <c r="C3547">
        <v>-17.025369000000001</v>
      </c>
      <c r="D3547">
        <v>157.68000072419599</v>
      </c>
      <c r="E3547">
        <v>30.2</v>
      </c>
      <c r="F3547">
        <v>9.6720000482797293</v>
      </c>
    </row>
    <row r="3548" spans="1:6" x14ac:dyDescent="0.2">
      <c r="A3548">
        <v>736787.65249999997</v>
      </c>
      <c r="B3548">
        <v>-149.595877</v>
      </c>
      <c r="C3548">
        <v>-17.025359999999999</v>
      </c>
      <c r="D3548">
        <v>157.68000072419599</v>
      </c>
      <c r="E3548">
        <v>30.2</v>
      </c>
      <c r="F3548">
        <v>9.6720000482797293</v>
      </c>
    </row>
    <row r="3549" spans="1:6" x14ac:dyDescent="0.2">
      <c r="A3549">
        <v>736787.65249999997</v>
      </c>
      <c r="B3549">
        <v>-149.59586400000001</v>
      </c>
      <c r="C3549">
        <v>-17.025352999999999</v>
      </c>
      <c r="D3549">
        <v>157.68000072419599</v>
      </c>
      <c r="E3549">
        <v>30.2</v>
      </c>
      <c r="F3549">
        <v>9.6720000482797293</v>
      </c>
    </row>
    <row r="3550" spans="1:6" x14ac:dyDescent="0.2">
      <c r="A3550">
        <v>736787.65249999997</v>
      </c>
      <c r="B3550">
        <v>-149.59584899999999</v>
      </c>
      <c r="C3550">
        <v>-17.025345000000002</v>
      </c>
      <c r="D3550">
        <v>157.68000072419599</v>
      </c>
      <c r="E3550">
        <v>30.2</v>
      </c>
      <c r="F3550">
        <v>9.6720000482797293</v>
      </c>
    </row>
    <row r="3551" spans="1:6" x14ac:dyDescent="0.2">
      <c r="A3551">
        <v>736787.65249999997</v>
      </c>
      <c r="B3551">
        <v>-149.59583799999999</v>
      </c>
      <c r="C3551">
        <v>-17.025338999999999</v>
      </c>
      <c r="D3551">
        <v>157.68000072419599</v>
      </c>
      <c r="E3551">
        <v>30.2</v>
      </c>
      <c r="F3551">
        <v>9.6720000482797293</v>
      </c>
    </row>
    <row r="3552" spans="1:6" x14ac:dyDescent="0.2">
      <c r="A3552">
        <v>736787.65249999997</v>
      </c>
      <c r="B3552">
        <v>-149.595823</v>
      </c>
      <c r="C3552">
        <v>-17.025335999999999</v>
      </c>
      <c r="D3552">
        <v>157.68000072419599</v>
      </c>
      <c r="E3552">
        <v>30.2</v>
      </c>
      <c r="F3552">
        <v>9.6720000482797293</v>
      </c>
    </row>
    <row r="3553" spans="1:6" x14ac:dyDescent="0.2">
      <c r="A3553">
        <v>736787.65249999997</v>
      </c>
      <c r="B3553">
        <v>-149.59580800000001</v>
      </c>
      <c r="C3553">
        <v>-17.025331000000001</v>
      </c>
      <c r="D3553">
        <v>157.68000072419599</v>
      </c>
      <c r="E3553">
        <v>30.2</v>
      </c>
      <c r="F3553">
        <v>9.6720000482797293</v>
      </c>
    </row>
    <row r="3554" spans="1:6" x14ac:dyDescent="0.2">
      <c r="A3554">
        <v>736787.65260000003</v>
      </c>
      <c r="B3554">
        <v>-149.595797</v>
      </c>
      <c r="C3554">
        <v>-17.025326</v>
      </c>
      <c r="D3554">
        <v>157.5</v>
      </c>
      <c r="E3554">
        <v>30.2</v>
      </c>
      <c r="F3554">
        <v>9.66</v>
      </c>
    </row>
    <row r="3555" spans="1:6" x14ac:dyDescent="0.2">
      <c r="A3555">
        <v>736787.65260000003</v>
      </c>
      <c r="B3555">
        <v>-149.59578300000001</v>
      </c>
      <c r="C3555">
        <v>-17.025324000000001</v>
      </c>
      <c r="D3555">
        <v>157.5</v>
      </c>
      <c r="E3555">
        <v>30.2</v>
      </c>
      <c r="F3555">
        <v>9.66</v>
      </c>
    </row>
    <row r="3556" spans="1:6" x14ac:dyDescent="0.2">
      <c r="A3556">
        <v>736787.65260000003</v>
      </c>
      <c r="B3556">
        <v>-149.595766</v>
      </c>
      <c r="C3556">
        <v>-17.025320000000001</v>
      </c>
      <c r="D3556">
        <v>157.5</v>
      </c>
      <c r="E3556">
        <v>30.2</v>
      </c>
      <c r="F3556">
        <v>9.66</v>
      </c>
    </row>
    <row r="3557" spans="1:6" x14ac:dyDescent="0.2">
      <c r="A3557">
        <v>736787.65260000003</v>
      </c>
      <c r="B3557">
        <v>-149.595755</v>
      </c>
      <c r="C3557">
        <v>-17.025314999999999</v>
      </c>
      <c r="D3557">
        <v>157.5</v>
      </c>
      <c r="E3557">
        <v>30.2</v>
      </c>
      <c r="F3557">
        <v>9.66</v>
      </c>
    </row>
    <row r="3558" spans="1:6" x14ac:dyDescent="0.2">
      <c r="A3558">
        <v>736787.65260000003</v>
      </c>
      <c r="B3558">
        <v>-149.595742</v>
      </c>
      <c r="C3558">
        <v>-17.025310999999999</v>
      </c>
      <c r="D3558">
        <v>157.5</v>
      </c>
      <c r="E3558">
        <v>30.2</v>
      </c>
      <c r="F3558">
        <v>9.66</v>
      </c>
    </row>
    <row r="3559" spans="1:6" x14ac:dyDescent="0.2">
      <c r="A3559">
        <v>736787.65260000003</v>
      </c>
      <c r="B3559">
        <v>-149.595733</v>
      </c>
      <c r="C3559">
        <v>-17.025307000000002</v>
      </c>
      <c r="D3559">
        <v>157.5</v>
      </c>
      <c r="E3559">
        <v>30.2</v>
      </c>
      <c r="F3559">
        <v>9.66</v>
      </c>
    </row>
    <row r="3560" spans="1:6" x14ac:dyDescent="0.2">
      <c r="A3560">
        <v>736787.65260000003</v>
      </c>
      <c r="B3560">
        <v>-149.59572499999999</v>
      </c>
      <c r="C3560">
        <v>-17.025297999999999</v>
      </c>
      <c r="D3560">
        <v>157.5</v>
      </c>
      <c r="E3560">
        <v>30.2</v>
      </c>
      <c r="F3560">
        <v>9.66</v>
      </c>
    </row>
    <row r="3561" spans="1:6" x14ac:dyDescent="0.2">
      <c r="A3561">
        <v>736787.65269999998</v>
      </c>
      <c r="B3561">
        <v>-149.59571099999999</v>
      </c>
      <c r="C3561">
        <v>-17.025286000000001</v>
      </c>
      <c r="D3561">
        <v>157.4</v>
      </c>
      <c r="E3561">
        <v>30.2</v>
      </c>
      <c r="F3561">
        <v>9.65</v>
      </c>
    </row>
    <row r="3562" spans="1:6" x14ac:dyDescent="0.2">
      <c r="A3562">
        <v>736787.65269999998</v>
      </c>
      <c r="B3562">
        <v>-149.595708</v>
      </c>
      <c r="C3562">
        <v>-17.025276000000002</v>
      </c>
      <c r="D3562">
        <v>157.4</v>
      </c>
      <c r="E3562">
        <v>30.2</v>
      </c>
      <c r="F3562">
        <v>9.65</v>
      </c>
    </row>
    <row r="3563" spans="1:6" x14ac:dyDescent="0.2">
      <c r="A3563">
        <v>736787.65269999998</v>
      </c>
      <c r="B3563">
        <v>-149.595698</v>
      </c>
      <c r="C3563">
        <v>-17.025265000000001</v>
      </c>
      <c r="D3563">
        <v>157.4</v>
      </c>
      <c r="E3563">
        <v>30.2</v>
      </c>
      <c r="F3563">
        <v>9.65</v>
      </c>
    </row>
    <row r="3564" spans="1:6" x14ac:dyDescent="0.2">
      <c r="A3564">
        <v>736787.65269999998</v>
      </c>
      <c r="B3564">
        <v>-149.595687</v>
      </c>
      <c r="C3564">
        <v>-17.025245999999999</v>
      </c>
      <c r="D3564">
        <v>157.4</v>
      </c>
      <c r="E3564">
        <v>30.2</v>
      </c>
      <c r="F3564">
        <v>9.65</v>
      </c>
    </row>
    <row r="3565" spans="1:6" x14ac:dyDescent="0.2">
      <c r="A3565">
        <v>736787.65269999998</v>
      </c>
      <c r="B3565">
        <v>-149.59567699999999</v>
      </c>
      <c r="C3565">
        <v>-17.025234000000001</v>
      </c>
      <c r="D3565">
        <v>157.4</v>
      </c>
      <c r="E3565">
        <v>30.2</v>
      </c>
      <c r="F3565">
        <v>9.65</v>
      </c>
    </row>
    <row r="3566" spans="1:6" x14ac:dyDescent="0.2">
      <c r="A3566">
        <v>736787.65269999998</v>
      </c>
      <c r="B3566">
        <v>-149.59567200000001</v>
      </c>
      <c r="C3566">
        <v>-17.025221999999999</v>
      </c>
      <c r="D3566">
        <v>157.4</v>
      </c>
      <c r="E3566">
        <v>30.2</v>
      </c>
      <c r="F3566">
        <v>9.65</v>
      </c>
    </row>
    <row r="3567" spans="1:6" x14ac:dyDescent="0.2">
      <c r="A3567">
        <v>736787.65269999998</v>
      </c>
      <c r="B3567">
        <v>-149.59566899999999</v>
      </c>
      <c r="C3567">
        <v>-17.025213000000001</v>
      </c>
      <c r="D3567">
        <v>157.4</v>
      </c>
      <c r="E3567">
        <v>30.2</v>
      </c>
      <c r="F3567">
        <v>9.65</v>
      </c>
    </row>
    <row r="3568" spans="1:6" x14ac:dyDescent="0.2">
      <c r="A3568">
        <v>736787.65280000004</v>
      </c>
      <c r="B3568">
        <v>-149.59566599999999</v>
      </c>
      <c r="C3568">
        <v>-17.025200000000002</v>
      </c>
      <c r="D3568">
        <v>157.89200063568401</v>
      </c>
      <c r="E3568">
        <v>30.2</v>
      </c>
      <c r="F3568">
        <v>9.6795200381410709</v>
      </c>
    </row>
    <row r="3569" spans="1:6" x14ac:dyDescent="0.2">
      <c r="A3569">
        <v>736787.65280000004</v>
      </c>
      <c r="B3569">
        <v>-149.59566899999999</v>
      </c>
      <c r="C3569">
        <v>-17.025182000000001</v>
      </c>
      <c r="D3569">
        <v>157.89200063568401</v>
      </c>
      <c r="E3569">
        <v>30.2</v>
      </c>
      <c r="F3569">
        <v>9.6795200381410709</v>
      </c>
    </row>
    <row r="3570" spans="1:6" x14ac:dyDescent="0.2">
      <c r="A3570">
        <v>736787.65280000004</v>
      </c>
      <c r="B3570">
        <v>-149.59567000000001</v>
      </c>
      <c r="C3570">
        <v>-17.025168000000001</v>
      </c>
      <c r="D3570">
        <v>157.89200063568401</v>
      </c>
      <c r="E3570">
        <v>30.2</v>
      </c>
      <c r="F3570">
        <v>9.6795200381410709</v>
      </c>
    </row>
    <row r="3571" spans="1:6" x14ac:dyDescent="0.2">
      <c r="A3571">
        <v>736787.65280000004</v>
      </c>
      <c r="B3571">
        <v>-149.59567000000001</v>
      </c>
      <c r="C3571">
        <v>-17.025155999999999</v>
      </c>
      <c r="D3571">
        <v>157.89200063568401</v>
      </c>
      <c r="E3571">
        <v>30.2</v>
      </c>
      <c r="F3571">
        <v>9.6795200381410709</v>
      </c>
    </row>
    <row r="3572" spans="1:6" x14ac:dyDescent="0.2">
      <c r="A3572">
        <v>736787.65280000004</v>
      </c>
      <c r="B3572">
        <v>-149.59566699999999</v>
      </c>
      <c r="C3572">
        <v>-17.025147</v>
      </c>
      <c r="D3572">
        <v>157.89200063568401</v>
      </c>
      <c r="E3572">
        <v>30.2</v>
      </c>
      <c r="F3572">
        <v>9.6795200381410709</v>
      </c>
    </row>
    <row r="3573" spans="1:6" x14ac:dyDescent="0.2">
      <c r="A3573">
        <v>736787.65280000004</v>
      </c>
      <c r="B3573">
        <v>-149.595665</v>
      </c>
      <c r="C3573">
        <v>-17.025137999999998</v>
      </c>
      <c r="D3573">
        <v>157.89200063568401</v>
      </c>
      <c r="E3573">
        <v>30.2</v>
      </c>
      <c r="F3573">
        <v>9.6795200381410709</v>
      </c>
    </row>
    <row r="3574" spans="1:6" x14ac:dyDescent="0.2">
      <c r="A3574">
        <v>736787.65289999999</v>
      </c>
      <c r="B3574">
        <v>-149.59565699999999</v>
      </c>
      <c r="C3574">
        <v>-17.025124999999999</v>
      </c>
      <c r="D3574">
        <v>157.80000000000001</v>
      </c>
      <c r="E3574">
        <v>30.2</v>
      </c>
      <c r="F3574">
        <v>9.68</v>
      </c>
    </row>
    <row r="3575" spans="1:6" x14ac:dyDescent="0.2">
      <c r="A3575">
        <v>736787.65289999999</v>
      </c>
      <c r="B3575">
        <v>-149.595652</v>
      </c>
      <c r="C3575">
        <v>-17.025115</v>
      </c>
      <c r="D3575">
        <v>157.80000000000001</v>
      </c>
      <c r="E3575">
        <v>30.2</v>
      </c>
      <c r="F3575">
        <v>9.68</v>
      </c>
    </row>
    <row r="3576" spans="1:6" x14ac:dyDescent="0.2">
      <c r="A3576">
        <v>736787.65289999999</v>
      </c>
      <c r="B3576">
        <v>-149.59564399999999</v>
      </c>
      <c r="C3576">
        <v>-17.025102</v>
      </c>
      <c r="D3576">
        <v>157.80000000000001</v>
      </c>
      <c r="E3576">
        <v>30.2</v>
      </c>
      <c r="F3576">
        <v>9.68</v>
      </c>
    </row>
    <row r="3577" spans="1:6" x14ac:dyDescent="0.2">
      <c r="A3577">
        <v>736787.65289999999</v>
      </c>
      <c r="B3577">
        <v>-149.59564</v>
      </c>
      <c r="C3577">
        <v>-17.025091</v>
      </c>
      <c r="D3577">
        <v>157.80000000000001</v>
      </c>
      <c r="E3577">
        <v>30.2</v>
      </c>
      <c r="F3577">
        <v>9.68</v>
      </c>
    </row>
    <row r="3578" spans="1:6" x14ac:dyDescent="0.2">
      <c r="A3578">
        <v>736787.65289999999</v>
      </c>
      <c r="B3578">
        <v>-149.59564</v>
      </c>
      <c r="C3578">
        <v>-17.025081</v>
      </c>
      <c r="D3578">
        <v>157.80000000000001</v>
      </c>
      <c r="E3578">
        <v>30.2</v>
      </c>
      <c r="F3578">
        <v>9.68</v>
      </c>
    </row>
    <row r="3579" spans="1:6" x14ac:dyDescent="0.2">
      <c r="A3579">
        <v>736787.65300000005</v>
      </c>
      <c r="B3579">
        <v>-149.595642</v>
      </c>
      <c r="C3579">
        <v>-17.025067</v>
      </c>
      <c r="D3579">
        <v>157.76799958962201</v>
      </c>
      <c r="E3579">
        <v>30.2</v>
      </c>
      <c r="F3579">
        <v>9.6811999726414797</v>
      </c>
    </row>
    <row r="3580" spans="1:6" x14ac:dyDescent="0.2">
      <c r="A3580">
        <v>736787.65300000005</v>
      </c>
      <c r="B3580">
        <v>-149.59563700000001</v>
      </c>
      <c r="C3580">
        <v>-17.025051000000001</v>
      </c>
      <c r="D3580">
        <v>157.76799958962201</v>
      </c>
      <c r="E3580">
        <v>30.2</v>
      </c>
      <c r="F3580">
        <v>9.6811999726414797</v>
      </c>
    </row>
    <row r="3581" spans="1:6" x14ac:dyDescent="0.2">
      <c r="A3581">
        <v>736787.65300000005</v>
      </c>
      <c r="B3581">
        <v>-149.59563299999999</v>
      </c>
      <c r="C3581">
        <v>-17.025037000000001</v>
      </c>
      <c r="D3581">
        <v>157.76799958962201</v>
      </c>
      <c r="E3581">
        <v>30.2</v>
      </c>
      <c r="F3581">
        <v>9.6811999726414797</v>
      </c>
    </row>
    <row r="3582" spans="1:6" x14ac:dyDescent="0.2">
      <c r="A3582">
        <v>736787.65300000005</v>
      </c>
      <c r="B3582">
        <v>-149.59563</v>
      </c>
      <c r="C3582">
        <v>-17.025027999999999</v>
      </c>
      <c r="D3582">
        <v>157.76799958962201</v>
      </c>
      <c r="E3582">
        <v>30.2</v>
      </c>
      <c r="F3582">
        <v>9.6811999726414797</v>
      </c>
    </row>
    <row r="3583" spans="1:6" x14ac:dyDescent="0.2">
      <c r="A3583">
        <v>736787.65300000005</v>
      </c>
      <c r="B3583">
        <v>-149.59562399999999</v>
      </c>
      <c r="C3583">
        <v>-17.025016999999998</v>
      </c>
      <c r="D3583">
        <v>157.76799958962201</v>
      </c>
      <c r="E3583">
        <v>30.2</v>
      </c>
      <c r="F3583">
        <v>9.6811999726414797</v>
      </c>
    </row>
    <row r="3584" spans="1:6" x14ac:dyDescent="0.2">
      <c r="A3584">
        <v>736787.6531</v>
      </c>
      <c r="B3584">
        <v>-149.595617</v>
      </c>
      <c r="C3584">
        <v>-17.025010000000002</v>
      </c>
      <c r="D3584">
        <v>157.4</v>
      </c>
      <c r="E3584">
        <v>30.2</v>
      </c>
      <c r="F3584">
        <v>9.66</v>
      </c>
    </row>
    <row r="3585" spans="1:6" x14ac:dyDescent="0.2">
      <c r="A3585">
        <v>736787.6531</v>
      </c>
      <c r="B3585">
        <v>-149.59559999999999</v>
      </c>
      <c r="C3585">
        <v>-17.025005</v>
      </c>
      <c r="D3585">
        <v>157.4</v>
      </c>
      <c r="E3585">
        <v>30.2</v>
      </c>
      <c r="F3585">
        <v>9.66</v>
      </c>
    </row>
    <row r="3586" spans="1:6" x14ac:dyDescent="0.2">
      <c r="A3586">
        <v>736787.6531</v>
      </c>
      <c r="B3586">
        <v>-149.59558799999999</v>
      </c>
      <c r="C3586">
        <v>-17.025003000000002</v>
      </c>
      <c r="D3586">
        <v>157.4</v>
      </c>
      <c r="E3586">
        <v>30.2</v>
      </c>
      <c r="F3586">
        <v>9.66</v>
      </c>
    </row>
    <row r="3587" spans="1:6" x14ac:dyDescent="0.2">
      <c r="A3587">
        <v>736787.6531</v>
      </c>
      <c r="B3587">
        <v>-149.59557799999999</v>
      </c>
      <c r="C3587">
        <v>-17.024996000000002</v>
      </c>
      <c r="D3587">
        <v>157.4</v>
      </c>
      <c r="E3587">
        <v>30.2</v>
      </c>
      <c r="F3587">
        <v>9.66</v>
      </c>
    </row>
    <row r="3588" spans="1:6" x14ac:dyDescent="0.2">
      <c r="A3588">
        <v>736787.65319999994</v>
      </c>
      <c r="B3588">
        <v>-149.595564</v>
      </c>
      <c r="C3588">
        <v>-17.024988</v>
      </c>
      <c r="D3588">
        <v>157.22080011587099</v>
      </c>
      <c r="E3588">
        <v>30.2</v>
      </c>
      <c r="F3588">
        <v>9.6510400057935701</v>
      </c>
    </row>
    <row r="3589" spans="1:6" x14ac:dyDescent="0.2">
      <c r="A3589">
        <v>736787.65319999994</v>
      </c>
      <c r="B3589">
        <v>-149.59555499999999</v>
      </c>
      <c r="C3589">
        <v>-17.024979999999999</v>
      </c>
      <c r="D3589">
        <v>157.22080011587099</v>
      </c>
      <c r="E3589">
        <v>30.2</v>
      </c>
      <c r="F3589">
        <v>9.6510400057935701</v>
      </c>
    </row>
    <row r="3590" spans="1:6" x14ac:dyDescent="0.2">
      <c r="A3590">
        <v>736787.65319999994</v>
      </c>
      <c r="B3590">
        <v>-149.59554700000001</v>
      </c>
      <c r="C3590">
        <v>-17.024971000000001</v>
      </c>
      <c r="D3590">
        <v>157.22080011587099</v>
      </c>
      <c r="E3590">
        <v>30.2</v>
      </c>
      <c r="F3590">
        <v>9.6510400057935701</v>
      </c>
    </row>
    <row r="3591" spans="1:6" x14ac:dyDescent="0.2">
      <c r="A3591">
        <v>736787.65319999994</v>
      </c>
      <c r="B3591">
        <v>-149.59553600000001</v>
      </c>
      <c r="C3591">
        <v>-17.024961999999999</v>
      </c>
      <c r="D3591">
        <v>157.22080011587099</v>
      </c>
      <c r="E3591">
        <v>30.2</v>
      </c>
      <c r="F3591">
        <v>9.6510400057935701</v>
      </c>
    </row>
    <row r="3592" spans="1:6" x14ac:dyDescent="0.2">
      <c r="A3592">
        <v>736787.65319999994</v>
      </c>
      <c r="B3592">
        <v>-149.595528</v>
      </c>
      <c r="C3592">
        <v>-17.02495</v>
      </c>
      <c r="D3592">
        <v>157.22080011587099</v>
      </c>
      <c r="E3592">
        <v>30.2</v>
      </c>
      <c r="F3592">
        <v>9.6510400057935701</v>
      </c>
    </row>
    <row r="3593" spans="1:6" x14ac:dyDescent="0.2">
      <c r="A3593">
        <v>736787.65330000001</v>
      </c>
      <c r="B3593">
        <v>-149.59551400000001</v>
      </c>
      <c r="C3593">
        <v>-17.024939</v>
      </c>
      <c r="D3593">
        <v>157.5</v>
      </c>
      <c r="E3593">
        <v>30.262399945283001</v>
      </c>
      <c r="F3593">
        <v>9.66</v>
      </c>
    </row>
    <row r="3594" spans="1:6" x14ac:dyDescent="0.2">
      <c r="A3594">
        <v>736787.65330000001</v>
      </c>
      <c r="B3594">
        <v>-149.595508</v>
      </c>
      <c r="C3594">
        <v>-17.024927000000002</v>
      </c>
      <c r="D3594">
        <v>157.5</v>
      </c>
      <c r="E3594">
        <v>30.262399945283001</v>
      </c>
      <c r="F3594">
        <v>9.66</v>
      </c>
    </row>
    <row r="3595" spans="1:6" x14ac:dyDescent="0.2">
      <c r="A3595">
        <v>736787.65330000001</v>
      </c>
      <c r="B3595">
        <v>-149.59550400000001</v>
      </c>
      <c r="C3595">
        <v>-17.024916000000001</v>
      </c>
      <c r="D3595">
        <v>157.5</v>
      </c>
      <c r="E3595">
        <v>30.262399945283001</v>
      </c>
      <c r="F3595">
        <v>9.66</v>
      </c>
    </row>
    <row r="3596" spans="1:6" x14ac:dyDescent="0.2">
      <c r="A3596">
        <v>736787.65330000001</v>
      </c>
      <c r="B3596">
        <v>-149.595496</v>
      </c>
      <c r="C3596">
        <v>-17.024905</v>
      </c>
      <c r="D3596">
        <v>157.5</v>
      </c>
      <c r="E3596">
        <v>30.262399945283001</v>
      </c>
      <c r="F3596">
        <v>9.66</v>
      </c>
    </row>
    <row r="3597" spans="1:6" x14ac:dyDescent="0.2">
      <c r="A3597">
        <v>736787.65330000001</v>
      </c>
      <c r="B3597">
        <v>-149.59548899999999</v>
      </c>
      <c r="C3597">
        <v>-17.024891</v>
      </c>
      <c r="D3597">
        <v>157.5</v>
      </c>
      <c r="E3597">
        <v>30.262399945283001</v>
      </c>
      <c r="F3597">
        <v>9.66</v>
      </c>
    </row>
    <row r="3598" spans="1:6" x14ac:dyDescent="0.2">
      <c r="A3598">
        <v>736787.65330000001</v>
      </c>
      <c r="B3598">
        <v>-149.595482</v>
      </c>
      <c r="C3598">
        <v>-17.024877</v>
      </c>
      <c r="D3598">
        <v>157.5</v>
      </c>
      <c r="E3598">
        <v>30.262399945283001</v>
      </c>
      <c r="F3598">
        <v>9.66</v>
      </c>
    </row>
    <row r="3599" spans="1:6" x14ac:dyDescent="0.2">
      <c r="A3599">
        <v>736787.65330000001</v>
      </c>
      <c r="B3599">
        <v>-149.59547499999999</v>
      </c>
      <c r="C3599">
        <v>-17.02487</v>
      </c>
      <c r="D3599">
        <v>157.5</v>
      </c>
      <c r="E3599">
        <v>30.262399945283001</v>
      </c>
      <c r="F3599">
        <v>9.66</v>
      </c>
    </row>
    <row r="3600" spans="1:6" x14ac:dyDescent="0.2">
      <c r="A3600">
        <v>736787.65339999995</v>
      </c>
      <c r="B3600">
        <v>-149.59546800000001</v>
      </c>
      <c r="C3600">
        <v>-17.024854000000001</v>
      </c>
      <c r="D3600">
        <v>157.97599974250801</v>
      </c>
      <c r="E3600">
        <v>30.3</v>
      </c>
      <c r="F3600">
        <v>9.6870399897003203</v>
      </c>
    </row>
    <row r="3601" spans="1:6" x14ac:dyDescent="0.2">
      <c r="A3601">
        <v>736787.65339999995</v>
      </c>
      <c r="B3601">
        <v>-149.59545800000001</v>
      </c>
      <c r="C3601">
        <v>-17.024843000000001</v>
      </c>
      <c r="D3601">
        <v>157.97599974250801</v>
      </c>
      <c r="E3601">
        <v>30.3</v>
      </c>
      <c r="F3601">
        <v>9.6870399897003203</v>
      </c>
    </row>
    <row r="3602" spans="1:6" x14ac:dyDescent="0.2">
      <c r="A3602">
        <v>736787.65339999995</v>
      </c>
      <c r="B3602">
        <v>-149.595448</v>
      </c>
      <c r="C3602">
        <v>-17.024836000000001</v>
      </c>
      <c r="D3602">
        <v>157.97599974250801</v>
      </c>
      <c r="E3602">
        <v>30.3</v>
      </c>
      <c r="F3602">
        <v>9.6870399897003203</v>
      </c>
    </row>
    <row r="3603" spans="1:6" x14ac:dyDescent="0.2">
      <c r="A3603">
        <v>736787.65339999995</v>
      </c>
      <c r="B3603">
        <v>-149.595439</v>
      </c>
      <c r="C3603">
        <v>-17.024830999999999</v>
      </c>
      <c r="D3603">
        <v>157.97599974250801</v>
      </c>
      <c r="E3603">
        <v>30.3</v>
      </c>
      <c r="F3603">
        <v>9.6870399897003203</v>
      </c>
    </row>
    <row r="3604" spans="1:6" x14ac:dyDescent="0.2">
      <c r="A3604">
        <v>736787.65339999995</v>
      </c>
      <c r="B3604">
        <v>-149.59542099999999</v>
      </c>
      <c r="C3604">
        <v>-17.024816000000001</v>
      </c>
      <c r="D3604">
        <v>157.97599974250801</v>
      </c>
      <c r="E3604">
        <v>30.3</v>
      </c>
      <c r="F3604">
        <v>9.6870399897003203</v>
      </c>
    </row>
    <row r="3605" spans="1:6" x14ac:dyDescent="0.2">
      <c r="A3605">
        <v>736787.65339999995</v>
      </c>
      <c r="B3605">
        <v>-149.59540699999999</v>
      </c>
      <c r="C3605">
        <v>-17.024806000000002</v>
      </c>
      <c r="D3605">
        <v>157.97599974250801</v>
      </c>
      <c r="E3605">
        <v>30.3</v>
      </c>
      <c r="F3605">
        <v>9.6870399897003203</v>
      </c>
    </row>
    <row r="3606" spans="1:6" x14ac:dyDescent="0.2">
      <c r="A3606">
        <v>736787.65350000001</v>
      </c>
      <c r="B3606">
        <v>-149.59539699999999</v>
      </c>
      <c r="C3606">
        <v>-17.024797</v>
      </c>
      <c r="D3606">
        <v>158.32399990344001</v>
      </c>
      <c r="E3606">
        <v>30.3</v>
      </c>
      <c r="F3606">
        <v>9.7015999935626898</v>
      </c>
    </row>
    <row r="3607" spans="1:6" x14ac:dyDescent="0.2">
      <c r="A3607">
        <v>736787.65350000001</v>
      </c>
      <c r="B3607">
        <v>-149.59539000000001</v>
      </c>
      <c r="C3607">
        <v>-17.024789999999999</v>
      </c>
      <c r="D3607">
        <v>158.32399990344001</v>
      </c>
      <c r="E3607">
        <v>30.3</v>
      </c>
      <c r="F3607">
        <v>9.7015999935626898</v>
      </c>
    </row>
    <row r="3608" spans="1:6" x14ac:dyDescent="0.2">
      <c r="A3608">
        <v>736787.65350000001</v>
      </c>
      <c r="B3608">
        <v>-149.595382</v>
      </c>
      <c r="C3608">
        <v>-17.024781000000001</v>
      </c>
      <c r="D3608">
        <v>158.32399990344001</v>
      </c>
      <c r="E3608">
        <v>30.3</v>
      </c>
      <c r="F3608">
        <v>9.7015999935626898</v>
      </c>
    </row>
    <row r="3609" spans="1:6" x14ac:dyDescent="0.2">
      <c r="A3609">
        <v>736787.65350000001</v>
      </c>
      <c r="B3609">
        <v>-149.59537499999999</v>
      </c>
      <c r="C3609">
        <v>-17.024773</v>
      </c>
      <c r="D3609">
        <v>158.32399990344001</v>
      </c>
      <c r="E3609">
        <v>30.3</v>
      </c>
      <c r="F3609">
        <v>9.7015999935626898</v>
      </c>
    </row>
    <row r="3610" spans="1:6" x14ac:dyDescent="0.2">
      <c r="A3610">
        <v>736787.65350000001</v>
      </c>
      <c r="B3610">
        <v>-149.59536800000001</v>
      </c>
      <c r="C3610">
        <v>-17.024764999999999</v>
      </c>
      <c r="D3610">
        <v>158.32399990344001</v>
      </c>
      <c r="E3610">
        <v>30.3</v>
      </c>
      <c r="F3610">
        <v>9.7015999935626898</v>
      </c>
    </row>
    <row r="3611" spans="1:6" x14ac:dyDescent="0.2">
      <c r="A3611">
        <v>736787.65350000001</v>
      </c>
      <c r="B3611">
        <v>-149.59536399999999</v>
      </c>
      <c r="C3611">
        <v>-17.024753</v>
      </c>
      <c r="D3611">
        <v>158.32399990344001</v>
      </c>
      <c r="E3611">
        <v>30.3</v>
      </c>
      <c r="F3611">
        <v>9.7015999935626898</v>
      </c>
    </row>
    <row r="3612" spans="1:6" x14ac:dyDescent="0.2">
      <c r="A3612">
        <v>736787.65350000001</v>
      </c>
      <c r="B3612">
        <v>-149.595361</v>
      </c>
      <c r="C3612">
        <v>-17.024740999999999</v>
      </c>
      <c r="D3612">
        <v>158.32399990344001</v>
      </c>
      <c r="E3612">
        <v>30.3</v>
      </c>
      <c r="F3612">
        <v>9.7015999935626898</v>
      </c>
    </row>
    <row r="3613" spans="1:6" x14ac:dyDescent="0.2">
      <c r="A3613">
        <v>736787.65359999996</v>
      </c>
      <c r="B3613">
        <v>-149.595361</v>
      </c>
      <c r="C3613">
        <v>-17.024730999999999</v>
      </c>
      <c r="D3613">
        <v>160.05439918890099</v>
      </c>
      <c r="E3613">
        <v>30.3</v>
      </c>
      <c r="F3613">
        <v>9.8007999549389204</v>
      </c>
    </row>
    <row r="3614" spans="1:6" x14ac:dyDescent="0.2">
      <c r="A3614">
        <v>736787.65359999996</v>
      </c>
      <c r="B3614">
        <v>-149.595359</v>
      </c>
      <c r="C3614">
        <v>-17.024721</v>
      </c>
      <c r="D3614">
        <v>160.05439918890099</v>
      </c>
      <c r="E3614">
        <v>30.3</v>
      </c>
      <c r="F3614">
        <v>9.8007999549389204</v>
      </c>
    </row>
    <row r="3615" spans="1:6" x14ac:dyDescent="0.2">
      <c r="A3615">
        <v>736787.65359999996</v>
      </c>
      <c r="B3615">
        <v>-149.59535600000001</v>
      </c>
      <c r="C3615">
        <v>-17.024712000000001</v>
      </c>
      <c r="D3615">
        <v>160.05439918890099</v>
      </c>
      <c r="E3615">
        <v>30.3</v>
      </c>
      <c r="F3615">
        <v>9.8007999549389204</v>
      </c>
    </row>
    <row r="3616" spans="1:6" x14ac:dyDescent="0.2">
      <c r="A3616">
        <v>736787.65359999996</v>
      </c>
      <c r="B3616">
        <v>-149.59535399999999</v>
      </c>
      <c r="C3616">
        <v>-17.024695000000001</v>
      </c>
      <c r="D3616">
        <v>160.05439918890099</v>
      </c>
      <c r="E3616">
        <v>30.3</v>
      </c>
      <c r="F3616">
        <v>9.8007999549389204</v>
      </c>
    </row>
    <row r="3617" spans="1:6" x14ac:dyDescent="0.2">
      <c r="A3617">
        <v>736787.65359999996</v>
      </c>
      <c r="B3617">
        <v>-149.59535299999999</v>
      </c>
      <c r="C3617">
        <v>-17.024684000000001</v>
      </c>
      <c r="D3617">
        <v>160.05439918890099</v>
      </c>
      <c r="E3617">
        <v>30.3</v>
      </c>
      <c r="F3617">
        <v>9.8007999549389204</v>
      </c>
    </row>
    <row r="3618" spans="1:6" x14ac:dyDescent="0.2">
      <c r="A3618">
        <v>736787.65359999996</v>
      </c>
      <c r="B3618">
        <v>-149.59535099999999</v>
      </c>
      <c r="C3618">
        <v>-17.024674000000001</v>
      </c>
      <c r="D3618">
        <v>160.05439918890099</v>
      </c>
      <c r="E3618">
        <v>30.3</v>
      </c>
      <c r="F3618">
        <v>9.8007999549389204</v>
      </c>
    </row>
    <row r="3619" spans="1:6" x14ac:dyDescent="0.2">
      <c r="A3619">
        <v>736787.65370000002</v>
      </c>
      <c r="B3619">
        <v>-149.59534600000001</v>
      </c>
      <c r="C3619">
        <v>-17.024661999999999</v>
      </c>
      <c r="D3619">
        <v>162.26880217742001</v>
      </c>
      <c r="E3619">
        <v>30.5</v>
      </c>
      <c r="F3619">
        <v>9.9172001319648704</v>
      </c>
    </row>
    <row r="3620" spans="1:6" x14ac:dyDescent="0.2">
      <c r="A3620">
        <v>736787.65370000002</v>
      </c>
      <c r="B3620">
        <v>-149.59534400000001</v>
      </c>
      <c r="C3620">
        <v>-17.024649</v>
      </c>
      <c r="D3620">
        <v>162.26880217742001</v>
      </c>
      <c r="E3620">
        <v>30.5</v>
      </c>
      <c r="F3620">
        <v>9.9172001319648704</v>
      </c>
    </row>
    <row r="3621" spans="1:6" x14ac:dyDescent="0.2">
      <c r="A3621">
        <v>736787.65370000002</v>
      </c>
      <c r="B3621">
        <v>-149.59534300000001</v>
      </c>
      <c r="C3621">
        <v>-17.024633000000001</v>
      </c>
      <c r="D3621">
        <v>162.26880217742001</v>
      </c>
      <c r="E3621">
        <v>30.5</v>
      </c>
      <c r="F3621">
        <v>9.9172001319648704</v>
      </c>
    </row>
    <row r="3622" spans="1:6" x14ac:dyDescent="0.2">
      <c r="A3622">
        <v>736787.65370000002</v>
      </c>
      <c r="B3622">
        <v>-149.59534199999999</v>
      </c>
      <c r="C3622">
        <v>-17.024619000000001</v>
      </c>
      <c r="D3622">
        <v>162.26880217742001</v>
      </c>
      <c r="E3622">
        <v>30.5</v>
      </c>
      <c r="F3622">
        <v>9.9172001319648704</v>
      </c>
    </row>
    <row r="3623" spans="1:6" x14ac:dyDescent="0.2">
      <c r="A3623">
        <v>736787.65370000002</v>
      </c>
      <c r="B3623">
        <v>-149.59534600000001</v>
      </c>
      <c r="C3623">
        <v>-17.024605999999999</v>
      </c>
      <c r="D3623">
        <v>162.26880217742001</v>
      </c>
      <c r="E3623">
        <v>30.5</v>
      </c>
      <c r="F3623">
        <v>9.9172001319648704</v>
      </c>
    </row>
    <row r="3624" spans="1:6" x14ac:dyDescent="0.2">
      <c r="A3624">
        <v>736787.65370000002</v>
      </c>
      <c r="B3624">
        <v>-149.59534199999999</v>
      </c>
      <c r="C3624">
        <v>-17.024591000000001</v>
      </c>
      <c r="D3624">
        <v>162.26880217742001</v>
      </c>
      <c r="E3624">
        <v>30.5</v>
      </c>
      <c r="F3624">
        <v>9.9172001319648704</v>
      </c>
    </row>
    <row r="3625" spans="1:6" x14ac:dyDescent="0.2">
      <c r="A3625">
        <v>736787.65379999997</v>
      </c>
      <c r="B3625">
        <v>-149.595339</v>
      </c>
      <c r="C3625">
        <v>-17.024570000000001</v>
      </c>
      <c r="D3625">
        <v>167.52399864816701</v>
      </c>
      <c r="E3625">
        <v>30.5263999613762</v>
      </c>
      <c r="F3625">
        <v>10.222799922752399</v>
      </c>
    </row>
    <row r="3626" spans="1:6" x14ac:dyDescent="0.2">
      <c r="A3626">
        <v>736787.65379999997</v>
      </c>
      <c r="B3626">
        <v>-149.59533500000001</v>
      </c>
      <c r="C3626">
        <v>-17.024552</v>
      </c>
      <c r="D3626">
        <v>167.52399864816701</v>
      </c>
      <c r="E3626">
        <v>30.5263999613762</v>
      </c>
      <c r="F3626">
        <v>10.222799922752399</v>
      </c>
    </row>
    <row r="3627" spans="1:6" x14ac:dyDescent="0.2">
      <c r="A3627">
        <v>736787.65379999997</v>
      </c>
      <c r="B3627">
        <v>-149.59533200000001</v>
      </c>
      <c r="C3627">
        <v>-17.024543000000001</v>
      </c>
      <c r="D3627">
        <v>167.52399864816701</v>
      </c>
      <c r="E3627">
        <v>30.5263999613762</v>
      </c>
      <c r="F3627">
        <v>10.222799922752399</v>
      </c>
    </row>
    <row r="3628" spans="1:6" x14ac:dyDescent="0.2">
      <c r="A3628">
        <v>736787.65379999997</v>
      </c>
      <c r="B3628">
        <v>-149.595327</v>
      </c>
      <c r="C3628">
        <v>-17.024529999999999</v>
      </c>
      <c r="D3628">
        <v>167.52399864816701</v>
      </c>
      <c r="E3628">
        <v>30.5263999613762</v>
      </c>
      <c r="F3628">
        <v>10.222799922752399</v>
      </c>
    </row>
    <row r="3629" spans="1:6" x14ac:dyDescent="0.2">
      <c r="A3629">
        <v>736787.65379999997</v>
      </c>
      <c r="B3629">
        <v>-149.595325</v>
      </c>
      <c r="C3629">
        <v>-17.024512999999999</v>
      </c>
      <c r="D3629">
        <v>167.52399864816701</v>
      </c>
      <c r="E3629">
        <v>30.5263999613762</v>
      </c>
      <c r="F3629">
        <v>10.222799922752399</v>
      </c>
    </row>
    <row r="3630" spans="1:6" x14ac:dyDescent="0.2">
      <c r="A3630">
        <v>736787.65379999997</v>
      </c>
      <c r="B3630">
        <v>-149.595326</v>
      </c>
      <c r="C3630">
        <v>-17.024502999999999</v>
      </c>
      <c r="D3630">
        <v>167.52399864816701</v>
      </c>
      <c r="E3630">
        <v>30.5263999613762</v>
      </c>
      <c r="F3630">
        <v>10.222799922752399</v>
      </c>
    </row>
    <row r="3631" spans="1:6" x14ac:dyDescent="0.2">
      <c r="A3631">
        <v>736787.65379999997</v>
      </c>
      <c r="B3631">
        <v>-149.59532300000001</v>
      </c>
      <c r="C3631">
        <v>-17.024491999999999</v>
      </c>
      <c r="D3631">
        <v>167.52399864816701</v>
      </c>
      <c r="E3631">
        <v>30.5263999613762</v>
      </c>
      <c r="F3631">
        <v>10.222799922752399</v>
      </c>
    </row>
    <row r="3632" spans="1:6" x14ac:dyDescent="0.2">
      <c r="A3632">
        <v>736787.65379999997</v>
      </c>
      <c r="B3632">
        <v>-149.59532300000001</v>
      </c>
      <c r="C3632">
        <v>-17.024480000000001</v>
      </c>
      <c r="D3632">
        <v>167.52399864816701</v>
      </c>
      <c r="E3632">
        <v>30.5263999613762</v>
      </c>
      <c r="F3632">
        <v>10.222799922752399</v>
      </c>
    </row>
    <row r="3633" spans="1:6" x14ac:dyDescent="0.2">
      <c r="A3633">
        <v>736787.65390000003</v>
      </c>
      <c r="B3633">
        <v>-149.595326</v>
      </c>
      <c r="C3633">
        <v>-17.024464999999999</v>
      </c>
      <c r="D3633">
        <v>170.1</v>
      </c>
      <c r="E3633">
        <v>30.6991999645949</v>
      </c>
      <c r="F3633">
        <v>10.360080003540499</v>
      </c>
    </row>
    <row r="3634" spans="1:6" x14ac:dyDescent="0.2">
      <c r="A3634">
        <v>736787.65390000003</v>
      </c>
      <c r="B3634">
        <v>-149.59532899999999</v>
      </c>
      <c r="C3634">
        <v>-17.024455</v>
      </c>
      <c r="D3634">
        <v>170.1</v>
      </c>
      <c r="E3634">
        <v>30.6991999645949</v>
      </c>
      <c r="F3634">
        <v>10.360080003540499</v>
      </c>
    </row>
    <row r="3635" spans="1:6" x14ac:dyDescent="0.2">
      <c r="A3635">
        <v>736787.65390000003</v>
      </c>
      <c r="B3635">
        <v>-149.59533200000001</v>
      </c>
      <c r="C3635">
        <v>-17.024446000000001</v>
      </c>
      <c r="D3635">
        <v>170.1</v>
      </c>
      <c r="E3635">
        <v>30.6991999645949</v>
      </c>
      <c r="F3635">
        <v>10.360080003540499</v>
      </c>
    </row>
    <row r="3636" spans="1:6" x14ac:dyDescent="0.2">
      <c r="A3636">
        <v>736787.65390000003</v>
      </c>
      <c r="B3636">
        <v>-149.595336</v>
      </c>
      <c r="C3636">
        <v>-17.024436999999999</v>
      </c>
      <c r="D3636">
        <v>170.1</v>
      </c>
      <c r="E3636">
        <v>30.6991999645949</v>
      </c>
      <c r="F3636">
        <v>10.360080003540499</v>
      </c>
    </row>
    <row r="3637" spans="1:6" x14ac:dyDescent="0.2">
      <c r="A3637">
        <v>736787.65390000003</v>
      </c>
      <c r="B3637">
        <v>-149.59534099999999</v>
      </c>
      <c r="C3637">
        <v>-17.024426999999999</v>
      </c>
      <c r="D3637">
        <v>170.1</v>
      </c>
      <c r="E3637">
        <v>30.6991999645949</v>
      </c>
      <c r="F3637">
        <v>10.360080003540499</v>
      </c>
    </row>
    <row r="3638" spans="1:6" x14ac:dyDescent="0.2">
      <c r="A3638">
        <v>736787.65390000003</v>
      </c>
      <c r="B3638">
        <v>-149.59535099999999</v>
      </c>
      <c r="C3638">
        <v>-17.024426999999999</v>
      </c>
      <c r="D3638">
        <v>170.1</v>
      </c>
      <c r="E3638">
        <v>30.6991999645949</v>
      </c>
      <c r="F3638">
        <v>10.360080003540499</v>
      </c>
    </row>
    <row r="3639" spans="1:6" x14ac:dyDescent="0.2">
      <c r="A3639">
        <v>736787.65399999998</v>
      </c>
      <c r="B3639">
        <v>-149.59536399999999</v>
      </c>
      <c r="C3639">
        <v>-17.024422000000001</v>
      </c>
      <c r="D3639">
        <v>173.05199948501601</v>
      </c>
      <c r="E3639">
        <v>30.7</v>
      </c>
      <c r="F3639">
        <v>10.5347999710322</v>
      </c>
    </row>
    <row r="3640" spans="1:6" x14ac:dyDescent="0.2">
      <c r="A3640">
        <v>736787.65399999998</v>
      </c>
      <c r="B3640">
        <v>-149.59538000000001</v>
      </c>
      <c r="C3640">
        <v>-17.024417</v>
      </c>
      <c r="D3640">
        <v>173.05199948501601</v>
      </c>
      <c r="E3640">
        <v>30.7</v>
      </c>
      <c r="F3640">
        <v>10.5347999710322</v>
      </c>
    </row>
    <row r="3641" spans="1:6" x14ac:dyDescent="0.2">
      <c r="A3641">
        <v>736787.65399999998</v>
      </c>
      <c r="B3641">
        <v>-149.595395</v>
      </c>
      <c r="C3641">
        <v>-17.024411000000001</v>
      </c>
      <c r="D3641">
        <v>173.05199948501601</v>
      </c>
      <c r="E3641">
        <v>30.7</v>
      </c>
      <c r="F3641">
        <v>10.5347999710322</v>
      </c>
    </row>
    <row r="3642" spans="1:6" x14ac:dyDescent="0.2">
      <c r="A3642">
        <v>736787.65399999998</v>
      </c>
      <c r="B3642">
        <v>-149.595404</v>
      </c>
      <c r="C3642">
        <v>-17.024401000000001</v>
      </c>
      <c r="D3642">
        <v>173.05199948501601</v>
      </c>
      <c r="E3642">
        <v>30.7</v>
      </c>
      <c r="F3642">
        <v>10.5347999710322</v>
      </c>
    </row>
    <row r="3643" spans="1:6" x14ac:dyDescent="0.2">
      <c r="A3643">
        <v>736787.65410000004</v>
      </c>
      <c r="B3643">
        <v>-149.59542200000001</v>
      </c>
      <c r="C3643">
        <v>-17.024391000000001</v>
      </c>
      <c r="D3643">
        <v>174.21680097847101</v>
      </c>
      <c r="E3643">
        <v>30.7</v>
      </c>
      <c r="F3643">
        <v>10.604800061154499</v>
      </c>
    </row>
    <row r="3644" spans="1:6" x14ac:dyDescent="0.2">
      <c r="A3644">
        <v>736787.65410000004</v>
      </c>
      <c r="B3644">
        <v>-149.59542999999999</v>
      </c>
      <c r="C3644">
        <v>-17.024384999999999</v>
      </c>
      <c r="D3644">
        <v>174.21680097847101</v>
      </c>
      <c r="E3644">
        <v>30.7</v>
      </c>
      <c r="F3644">
        <v>10.604800061154499</v>
      </c>
    </row>
    <row r="3645" spans="1:6" x14ac:dyDescent="0.2">
      <c r="A3645">
        <v>736787.65410000004</v>
      </c>
      <c r="B3645">
        <v>-149.59544600000001</v>
      </c>
      <c r="C3645">
        <v>-17.024383</v>
      </c>
      <c r="D3645">
        <v>174.21680097847101</v>
      </c>
      <c r="E3645">
        <v>30.7</v>
      </c>
      <c r="F3645">
        <v>10.604800061154499</v>
      </c>
    </row>
    <row r="3646" spans="1:6" x14ac:dyDescent="0.2">
      <c r="A3646">
        <v>736787.65410000004</v>
      </c>
      <c r="B3646">
        <v>-149.59545700000001</v>
      </c>
      <c r="C3646">
        <v>-17.024377999999999</v>
      </c>
      <c r="D3646">
        <v>174.21680097847101</v>
      </c>
      <c r="E3646">
        <v>30.7</v>
      </c>
      <c r="F3646">
        <v>10.604800061154499</v>
      </c>
    </row>
    <row r="3647" spans="1:6" x14ac:dyDescent="0.2">
      <c r="A3647">
        <v>736787.65410000004</v>
      </c>
      <c r="B3647">
        <v>-149.59547599999999</v>
      </c>
      <c r="C3647">
        <v>-17.024384000000001</v>
      </c>
      <c r="D3647">
        <v>174.21680097847101</v>
      </c>
      <c r="E3647">
        <v>30.7</v>
      </c>
      <c r="F3647">
        <v>10.604800061154499</v>
      </c>
    </row>
    <row r="3648" spans="1:6" x14ac:dyDescent="0.2">
      <c r="A3648">
        <v>736787.65410000004</v>
      </c>
      <c r="B3648">
        <v>-149.59548599999999</v>
      </c>
      <c r="C3648">
        <v>-17.024381999999999</v>
      </c>
      <c r="D3648">
        <v>174.21680097847101</v>
      </c>
      <c r="E3648">
        <v>30.7</v>
      </c>
      <c r="F3648">
        <v>10.604800061154499</v>
      </c>
    </row>
    <row r="3649" spans="1:6" x14ac:dyDescent="0.2">
      <c r="A3649">
        <v>736787.65419999999</v>
      </c>
      <c r="B3649">
        <v>-149.595505</v>
      </c>
      <c r="C3649">
        <v>-17.024384999999999</v>
      </c>
      <c r="D3649">
        <v>174.5</v>
      </c>
      <c r="E3649">
        <v>30.7</v>
      </c>
      <c r="F3649">
        <v>10.62</v>
      </c>
    </row>
    <row r="3650" spans="1:6" x14ac:dyDescent="0.2">
      <c r="A3650">
        <v>736787.65419999999</v>
      </c>
      <c r="B3650">
        <v>-149.59551999999999</v>
      </c>
      <c r="C3650">
        <v>-17.024384999999999</v>
      </c>
      <c r="D3650">
        <v>174.5</v>
      </c>
      <c r="E3650">
        <v>30.7</v>
      </c>
      <c r="F3650">
        <v>10.62</v>
      </c>
    </row>
    <row r="3651" spans="1:6" x14ac:dyDescent="0.2">
      <c r="A3651">
        <v>736787.65419999999</v>
      </c>
      <c r="B3651">
        <v>-149.59553199999999</v>
      </c>
      <c r="C3651">
        <v>-17.024387000000001</v>
      </c>
      <c r="D3651">
        <v>174.5</v>
      </c>
      <c r="E3651">
        <v>30.7</v>
      </c>
      <c r="F3651">
        <v>10.62</v>
      </c>
    </row>
    <row r="3652" spans="1:6" x14ac:dyDescent="0.2">
      <c r="A3652">
        <v>736787.65419999999</v>
      </c>
      <c r="B3652">
        <v>-149.59554399999999</v>
      </c>
      <c r="C3652">
        <v>-17.024381999999999</v>
      </c>
      <c r="D3652">
        <v>174.5</v>
      </c>
      <c r="E3652">
        <v>30.7</v>
      </c>
      <c r="F3652">
        <v>10.62</v>
      </c>
    </row>
    <row r="3653" spans="1:6" x14ac:dyDescent="0.2">
      <c r="A3653">
        <v>736787.65419999999</v>
      </c>
      <c r="B3653">
        <v>-149.59555800000001</v>
      </c>
      <c r="C3653">
        <v>-17.024373000000001</v>
      </c>
      <c r="D3653">
        <v>174.5</v>
      </c>
      <c r="E3653">
        <v>30.7</v>
      </c>
      <c r="F3653">
        <v>10.62</v>
      </c>
    </row>
    <row r="3654" spans="1:6" x14ac:dyDescent="0.2">
      <c r="A3654">
        <v>736787.65419999999</v>
      </c>
      <c r="B3654">
        <v>-149.59557000000001</v>
      </c>
      <c r="C3654">
        <v>-17.024367000000002</v>
      </c>
      <c r="D3654">
        <v>174.5</v>
      </c>
      <c r="E3654">
        <v>30.7</v>
      </c>
      <c r="F3654">
        <v>10.62</v>
      </c>
    </row>
    <row r="3655" spans="1:6" x14ac:dyDescent="0.2">
      <c r="A3655">
        <v>736787.65430000005</v>
      </c>
      <c r="B3655">
        <v>-149.59557899999999</v>
      </c>
      <c r="C3655">
        <v>-17.024353000000001</v>
      </c>
      <c r="D3655">
        <v>175.67520207120501</v>
      </c>
      <c r="E3655">
        <v>30.7</v>
      </c>
      <c r="F3655">
        <v>10.6923201274587</v>
      </c>
    </row>
    <row r="3656" spans="1:6" x14ac:dyDescent="0.2">
      <c r="A3656">
        <v>736787.65430000005</v>
      </c>
      <c r="B3656">
        <v>-149.59558799999999</v>
      </c>
      <c r="C3656">
        <v>-17.024353000000001</v>
      </c>
      <c r="D3656">
        <v>175.67520207120501</v>
      </c>
      <c r="E3656">
        <v>30.7</v>
      </c>
      <c r="F3656">
        <v>10.6923201274587</v>
      </c>
    </row>
    <row r="3657" spans="1:6" x14ac:dyDescent="0.2">
      <c r="A3657">
        <v>736787.65430000005</v>
      </c>
      <c r="B3657">
        <v>-149.595598</v>
      </c>
      <c r="C3657">
        <v>-17.024353000000001</v>
      </c>
      <c r="D3657">
        <v>175.67520207120501</v>
      </c>
      <c r="E3657">
        <v>30.7</v>
      </c>
      <c r="F3657">
        <v>10.6923201274587</v>
      </c>
    </row>
    <row r="3658" spans="1:6" x14ac:dyDescent="0.2">
      <c r="A3658">
        <v>736787.65430000005</v>
      </c>
      <c r="B3658">
        <v>-149.595608</v>
      </c>
      <c r="C3658">
        <v>-17.024346000000001</v>
      </c>
      <c r="D3658">
        <v>175.67520207120501</v>
      </c>
      <c r="E3658">
        <v>30.7</v>
      </c>
      <c r="F3658">
        <v>10.6923201274587</v>
      </c>
    </row>
    <row r="3659" spans="1:6" x14ac:dyDescent="0.2">
      <c r="A3659">
        <v>736787.65430000005</v>
      </c>
      <c r="B3659">
        <v>-149.595618</v>
      </c>
      <c r="C3659">
        <v>-17.024343999999999</v>
      </c>
      <c r="D3659">
        <v>175.67520207120501</v>
      </c>
      <c r="E3659">
        <v>30.7</v>
      </c>
      <c r="F3659">
        <v>10.6923201274587</v>
      </c>
    </row>
    <row r="3660" spans="1:6" x14ac:dyDescent="0.2">
      <c r="A3660">
        <v>736787.65430000005</v>
      </c>
      <c r="B3660">
        <v>-149.595628</v>
      </c>
      <c r="C3660">
        <v>-17.024345</v>
      </c>
      <c r="D3660">
        <v>175.67520207120501</v>
      </c>
      <c r="E3660">
        <v>30.7</v>
      </c>
      <c r="F3660">
        <v>10.6923201274587</v>
      </c>
    </row>
    <row r="3661" spans="1:6" x14ac:dyDescent="0.2">
      <c r="A3661">
        <v>736787.65430000005</v>
      </c>
      <c r="B3661">
        <v>-149.59563900000001</v>
      </c>
      <c r="C3661">
        <v>-17.024339999999999</v>
      </c>
      <c r="D3661">
        <v>175.67520207120501</v>
      </c>
      <c r="E3661">
        <v>30.7</v>
      </c>
      <c r="F3661">
        <v>10.6923201274587</v>
      </c>
    </row>
    <row r="3662" spans="1:6" x14ac:dyDescent="0.2">
      <c r="A3662">
        <v>736787.65430000005</v>
      </c>
      <c r="B3662">
        <v>-149.595652</v>
      </c>
      <c r="C3662">
        <v>-17.024342000000001</v>
      </c>
      <c r="D3662">
        <v>175.67520207120501</v>
      </c>
      <c r="E3662">
        <v>30.7</v>
      </c>
      <c r="F3662">
        <v>10.6923201274587</v>
      </c>
    </row>
    <row r="3663" spans="1:6" x14ac:dyDescent="0.2">
      <c r="A3663">
        <v>736787.6544</v>
      </c>
      <c r="B3663">
        <v>-149.59566100000001</v>
      </c>
      <c r="C3663">
        <v>-17.024348</v>
      </c>
      <c r="D3663">
        <v>175.3</v>
      </c>
      <c r="E3663">
        <v>30.7</v>
      </c>
      <c r="F3663">
        <v>10.67</v>
      </c>
    </row>
    <row r="3664" spans="1:6" x14ac:dyDescent="0.2">
      <c r="A3664">
        <v>736787.6544</v>
      </c>
      <c r="B3664">
        <v>-149.59567200000001</v>
      </c>
      <c r="C3664">
        <v>-17.024349999999998</v>
      </c>
      <c r="D3664">
        <v>175.3</v>
      </c>
      <c r="E3664">
        <v>30.7</v>
      </c>
      <c r="F3664">
        <v>10.67</v>
      </c>
    </row>
    <row r="3665" spans="1:6" x14ac:dyDescent="0.2">
      <c r="A3665">
        <v>736787.6544</v>
      </c>
      <c r="B3665">
        <v>-149.59569200000001</v>
      </c>
      <c r="C3665">
        <v>-17.024349000000001</v>
      </c>
      <c r="D3665">
        <v>175.3</v>
      </c>
      <c r="E3665">
        <v>30.7</v>
      </c>
      <c r="F3665">
        <v>10.67</v>
      </c>
    </row>
    <row r="3666" spans="1:6" x14ac:dyDescent="0.2">
      <c r="A3666">
        <v>736787.6544</v>
      </c>
      <c r="B3666">
        <v>-149.59570500000001</v>
      </c>
      <c r="C3666">
        <v>-17.024349000000001</v>
      </c>
      <c r="D3666">
        <v>175.3</v>
      </c>
      <c r="E3666">
        <v>30.7</v>
      </c>
      <c r="F3666">
        <v>10.67</v>
      </c>
    </row>
    <row r="3667" spans="1:6" x14ac:dyDescent="0.2">
      <c r="A3667">
        <v>736787.6544</v>
      </c>
      <c r="B3667">
        <v>-149.59571800000001</v>
      </c>
      <c r="C3667">
        <v>-17.024342000000001</v>
      </c>
      <c r="D3667">
        <v>175.3</v>
      </c>
      <c r="E3667">
        <v>30.7</v>
      </c>
      <c r="F3667">
        <v>10.67</v>
      </c>
    </row>
    <row r="3668" spans="1:6" x14ac:dyDescent="0.2">
      <c r="A3668">
        <v>736787.6544</v>
      </c>
      <c r="B3668">
        <v>-149.59572900000001</v>
      </c>
      <c r="C3668">
        <v>-17.024338</v>
      </c>
      <c r="D3668">
        <v>175.3</v>
      </c>
      <c r="E3668">
        <v>30.7</v>
      </c>
      <c r="F3668">
        <v>10.67</v>
      </c>
    </row>
    <row r="3669" spans="1:6" x14ac:dyDescent="0.2">
      <c r="A3669">
        <v>736787.65449999995</v>
      </c>
      <c r="B3669">
        <v>-149.59574599999999</v>
      </c>
      <c r="C3669">
        <v>-17.024334</v>
      </c>
      <c r="D3669">
        <v>175.86799811708701</v>
      </c>
      <c r="E3669">
        <v>30.7359998551605</v>
      </c>
      <c r="F3669">
        <v>10.705199898612401</v>
      </c>
    </row>
    <row r="3670" spans="1:6" x14ac:dyDescent="0.2">
      <c r="A3670">
        <v>736787.65449999995</v>
      </c>
      <c r="B3670">
        <v>-149.595764</v>
      </c>
      <c r="C3670">
        <v>-17.024335000000001</v>
      </c>
      <c r="D3670">
        <v>175.86799811708701</v>
      </c>
      <c r="E3670">
        <v>30.7359998551605</v>
      </c>
      <c r="F3670">
        <v>10.705199898612401</v>
      </c>
    </row>
    <row r="3671" spans="1:6" x14ac:dyDescent="0.2">
      <c r="A3671">
        <v>736787.65449999995</v>
      </c>
      <c r="B3671">
        <v>-149.59577899999999</v>
      </c>
      <c r="C3671">
        <v>-17.024342000000001</v>
      </c>
      <c r="D3671">
        <v>175.86799811708701</v>
      </c>
      <c r="E3671">
        <v>30.7359998551605</v>
      </c>
      <c r="F3671">
        <v>10.705199898612401</v>
      </c>
    </row>
    <row r="3672" spans="1:6" x14ac:dyDescent="0.2">
      <c r="A3672">
        <v>736787.65460000001</v>
      </c>
      <c r="B3672">
        <v>-149.59579500000001</v>
      </c>
      <c r="C3672">
        <v>-17.024341</v>
      </c>
      <c r="D3672">
        <v>178</v>
      </c>
      <c r="E3672">
        <v>30.791200012874601</v>
      </c>
      <c r="F3672">
        <v>10.8126399961376</v>
      </c>
    </row>
    <row r="3673" spans="1:6" x14ac:dyDescent="0.2">
      <c r="A3673">
        <v>736787.65460000001</v>
      </c>
      <c r="B3673">
        <v>-149.59580600000001</v>
      </c>
      <c r="C3673">
        <v>-17.024339000000001</v>
      </c>
      <c r="D3673">
        <v>178</v>
      </c>
      <c r="E3673">
        <v>30.791200012874601</v>
      </c>
      <c r="F3673">
        <v>10.8126399961376</v>
      </c>
    </row>
    <row r="3674" spans="1:6" x14ac:dyDescent="0.2">
      <c r="A3674">
        <v>736787.65460000001</v>
      </c>
      <c r="B3674">
        <v>-149.595823</v>
      </c>
      <c r="C3674">
        <v>-17.024339999999999</v>
      </c>
      <c r="D3674">
        <v>178</v>
      </c>
      <c r="E3674">
        <v>30.791200012874601</v>
      </c>
      <c r="F3674">
        <v>10.8126399961376</v>
      </c>
    </row>
    <row r="3675" spans="1:6" x14ac:dyDescent="0.2">
      <c r="A3675">
        <v>736787.65460000001</v>
      </c>
      <c r="B3675">
        <v>-149.59583499999999</v>
      </c>
      <c r="C3675">
        <v>-17.024339999999999</v>
      </c>
      <c r="D3675">
        <v>178</v>
      </c>
      <c r="E3675">
        <v>30.791200012874601</v>
      </c>
      <c r="F3675">
        <v>10.8126399961376</v>
      </c>
    </row>
    <row r="3676" spans="1:6" x14ac:dyDescent="0.2">
      <c r="A3676">
        <v>736787.65460000001</v>
      </c>
      <c r="B3676">
        <v>-149.59584599999999</v>
      </c>
      <c r="C3676">
        <v>-17.024339000000001</v>
      </c>
      <c r="D3676">
        <v>178</v>
      </c>
      <c r="E3676">
        <v>30.791200012874601</v>
      </c>
      <c r="F3676">
        <v>10.8126399961376</v>
      </c>
    </row>
    <row r="3677" spans="1:6" x14ac:dyDescent="0.2">
      <c r="A3677">
        <v>736787.65460000001</v>
      </c>
      <c r="B3677">
        <v>-149.59585300000001</v>
      </c>
      <c r="C3677">
        <v>-17.024332999999999</v>
      </c>
      <c r="D3677">
        <v>178</v>
      </c>
      <c r="E3677">
        <v>30.791200012874601</v>
      </c>
      <c r="F3677">
        <v>10.8126399961376</v>
      </c>
    </row>
    <row r="3678" spans="1:6" x14ac:dyDescent="0.2">
      <c r="A3678">
        <v>736787.65469999996</v>
      </c>
      <c r="B3678">
        <v>-149.59586400000001</v>
      </c>
      <c r="C3678">
        <v>-17.024329999999999</v>
      </c>
      <c r="D3678">
        <v>177.26560042003501</v>
      </c>
      <c r="E3678">
        <v>30.7</v>
      </c>
      <c r="F3678">
        <v>10.7910400280023</v>
      </c>
    </row>
    <row r="3679" spans="1:6" x14ac:dyDescent="0.2">
      <c r="A3679">
        <v>736787.65469999996</v>
      </c>
      <c r="B3679">
        <v>-149.595877</v>
      </c>
      <c r="C3679">
        <v>-17.024325000000001</v>
      </c>
      <c r="D3679">
        <v>177.26560042003501</v>
      </c>
      <c r="E3679">
        <v>30.7</v>
      </c>
      <c r="F3679">
        <v>10.7910400280023</v>
      </c>
    </row>
    <row r="3680" spans="1:6" x14ac:dyDescent="0.2">
      <c r="A3680">
        <v>736787.65469999996</v>
      </c>
      <c r="B3680">
        <v>-149.59588299999999</v>
      </c>
      <c r="C3680">
        <v>-17.024314</v>
      </c>
      <c r="D3680">
        <v>177.26560042003501</v>
      </c>
      <c r="E3680">
        <v>30.7</v>
      </c>
      <c r="F3680">
        <v>10.7910400280023</v>
      </c>
    </row>
    <row r="3681" spans="1:6" x14ac:dyDescent="0.2">
      <c r="A3681">
        <v>736787.65469999996</v>
      </c>
      <c r="B3681">
        <v>-149.59589399999999</v>
      </c>
      <c r="C3681">
        <v>-17.024307</v>
      </c>
      <c r="D3681">
        <v>177.26560042003501</v>
      </c>
      <c r="E3681">
        <v>30.7</v>
      </c>
      <c r="F3681">
        <v>10.7910400280023</v>
      </c>
    </row>
    <row r="3682" spans="1:6" x14ac:dyDescent="0.2">
      <c r="A3682">
        <v>736787.65469999996</v>
      </c>
      <c r="B3682">
        <v>-149.59590499999999</v>
      </c>
      <c r="C3682">
        <v>-17.024304999999998</v>
      </c>
      <c r="D3682">
        <v>177.26560042003501</v>
      </c>
      <c r="E3682">
        <v>30.7</v>
      </c>
      <c r="F3682">
        <v>10.7910400280023</v>
      </c>
    </row>
    <row r="3683" spans="1:6" x14ac:dyDescent="0.2">
      <c r="A3683">
        <v>736787.65469999996</v>
      </c>
      <c r="B3683">
        <v>-149.59591399999999</v>
      </c>
      <c r="C3683">
        <v>-17.0243</v>
      </c>
      <c r="D3683">
        <v>177.26560042003501</v>
      </c>
      <c r="E3683">
        <v>30.7</v>
      </c>
      <c r="F3683">
        <v>10.7910400280023</v>
      </c>
    </row>
    <row r="3684" spans="1:6" x14ac:dyDescent="0.2">
      <c r="A3684">
        <v>736787.65469999996</v>
      </c>
      <c r="B3684">
        <v>-149.59593000000001</v>
      </c>
      <c r="C3684">
        <v>-17.024293</v>
      </c>
      <c r="D3684">
        <v>177.26560042003501</v>
      </c>
      <c r="E3684">
        <v>30.7</v>
      </c>
      <c r="F3684">
        <v>10.7910400280023</v>
      </c>
    </row>
    <row r="3685" spans="1:6" x14ac:dyDescent="0.2">
      <c r="A3685">
        <v>736787.65469999996</v>
      </c>
      <c r="B3685">
        <v>-149.59594000000001</v>
      </c>
      <c r="C3685">
        <v>-17.024291999999999</v>
      </c>
      <c r="D3685">
        <v>177.26560042003501</v>
      </c>
      <c r="E3685">
        <v>30.7</v>
      </c>
      <c r="F3685">
        <v>10.7910400280023</v>
      </c>
    </row>
    <row r="3686" spans="1:6" x14ac:dyDescent="0.2">
      <c r="A3686">
        <v>736787.65480000002</v>
      </c>
      <c r="B3686">
        <v>-149.59594999999999</v>
      </c>
      <c r="C3686">
        <v>-17.024287999999999</v>
      </c>
      <c r="D3686">
        <v>175.64560000643701</v>
      </c>
      <c r="E3686">
        <v>30.645600006437299</v>
      </c>
      <c r="F3686">
        <v>10.705439999356299</v>
      </c>
    </row>
    <row r="3687" spans="1:6" x14ac:dyDescent="0.2">
      <c r="A3687">
        <v>736787.65480000002</v>
      </c>
      <c r="B3687">
        <v>-149.59595899999999</v>
      </c>
      <c r="C3687">
        <v>-17.024291000000002</v>
      </c>
      <c r="D3687">
        <v>175.64560000643701</v>
      </c>
      <c r="E3687">
        <v>30.645600006437299</v>
      </c>
      <c r="F3687">
        <v>10.705439999356299</v>
      </c>
    </row>
    <row r="3688" spans="1:6" x14ac:dyDescent="0.2">
      <c r="A3688">
        <v>736787.65480000002</v>
      </c>
      <c r="B3688">
        <v>-149.59596999999999</v>
      </c>
      <c r="C3688">
        <v>-17.024290000000001</v>
      </c>
      <c r="D3688">
        <v>175.64560000643701</v>
      </c>
      <c r="E3688">
        <v>30.645600006437299</v>
      </c>
      <c r="F3688">
        <v>10.705439999356299</v>
      </c>
    </row>
    <row r="3689" spans="1:6" x14ac:dyDescent="0.2">
      <c r="A3689">
        <v>736787.65480000002</v>
      </c>
      <c r="B3689">
        <v>-149.59598099999999</v>
      </c>
      <c r="C3689">
        <v>-17.024290000000001</v>
      </c>
      <c r="D3689">
        <v>175.64560000643701</v>
      </c>
      <c r="E3689">
        <v>30.645600006437299</v>
      </c>
      <c r="F3689">
        <v>10.705439999356299</v>
      </c>
    </row>
    <row r="3690" spans="1:6" x14ac:dyDescent="0.2">
      <c r="A3690">
        <v>736787.65480000002</v>
      </c>
      <c r="B3690">
        <v>-149.59599299999999</v>
      </c>
      <c r="C3690">
        <v>-17.024287999999999</v>
      </c>
      <c r="D3690">
        <v>175.64560000643701</v>
      </c>
      <c r="E3690">
        <v>30.645600006437299</v>
      </c>
      <c r="F3690">
        <v>10.705439999356299</v>
      </c>
    </row>
    <row r="3691" spans="1:6" x14ac:dyDescent="0.2">
      <c r="A3691">
        <v>736787.65480000002</v>
      </c>
      <c r="B3691">
        <v>-149.59600499999999</v>
      </c>
      <c r="C3691">
        <v>-17.024284999999999</v>
      </c>
      <c r="D3691">
        <v>175.64560000643701</v>
      </c>
      <c r="E3691">
        <v>30.645600006437299</v>
      </c>
      <c r="F3691">
        <v>10.705439999356299</v>
      </c>
    </row>
    <row r="3692" spans="1:6" x14ac:dyDescent="0.2">
      <c r="A3692">
        <v>736787.65480000002</v>
      </c>
      <c r="B3692">
        <v>-149.59601499999999</v>
      </c>
      <c r="C3692">
        <v>-17.024280000000001</v>
      </c>
      <c r="D3692">
        <v>175.64560000643701</v>
      </c>
      <c r="E3692">
        <v>30.645600006437299</v>
      </c>
      <c r="F3692">
        <v>10.705439999356299</v>
      </c>
    </row>
    <row r="3693" spans="1:6" x14ac:dyDescent="0.2">
      <c r="A3693">
        <v>736787.65489999996</v>
      </c>
      <c r="B3693">
        <v>-149.59603000000001</v>
      </c>
      <c r="C3693">
        <v>-17.024277000000001</v>
      </c>
      <c r="D3693">
        <v>172.42880006759199</v>
      </c>
      <c r="E3693">
        <v>30.6</v>
      </c>
      <c r="F3693">
        <v>10.5173600038624</v>
      </c>
    </row>
    <row r="3694" spans="1:6" x14ac:dyDescent="0.2">
      <c r="A3694">
        <v>736787.65489999996</v>
      </c>
      <c r="B3694">
        <v>-149.59604300000001</v>
      </c>
      <c r="C3694">
        <v>-17.024272</v>
      </c>
      <c r="D3694">
        <v>172.42880006759199</v>
      </c>
      <c r="E3694">
        <v>30.6</v>
      </c>
      <c r="F3694">
        <v>10.5173600038624</v>
      </c>
    </row>
    <row r="3695" spans="1:6" x14ac:dyDescent="0.2">
      <c r="A3695">
        <v>736787.65489999996</v>
      </c>
      <c r="B3695">
        <v>-149.596059</v>
      </c>
      <c r="C3695">
        <v>-17.024263999999999</v>
      </c>
      <c r="D3695">
        <v>172.42880006759199</v>
      </c>
      <c r="E3695">
        <v>30.6</v>
      </c>
      <c r="F3695">
        <v>10.5173600038624</v>
      </c>
    </row>
    <row r="3696" spans="1:6" x14ac:dyDescent="0.2">
      <c r="A3696">
        <v>736787.65489999996</v>
      </c>
      <c r="B3696">
        <v>-149.59607299999999</v>
      </c>
      <c r="C3696">
        <v>-17.024260000000002</v>
      </c>
      <c r="D3696">
        <v>172.42880006759199</v>
      </c>
      <c r="E3696">
        <v>30.6</v>
      </c>
      <c r="F3696">
        <v>10.5173600038624</v>
      </c>
    </row>
    <row r="3697" spans="1:6" x14ac:dyDescent="0.2">
      <c r="A3697">
        <v>736787.65489999996</v>
      </c>
      <c r="B3697">
        <v>-149.59608600000001</v>
      </c>
      <c r="C3697">
        <v>-17.024253000000002</v>
      </c>
      <c r="D3697">
        <v>172.42880006759199</v>
      </c>
      <c r="E3697">
        <v>30.6</v>
      </c>
      <c r="F3697">
        <v>10.5173600038624</v>
      </c>
    </row>
    <row r="3698" spans="1:6" x14ac:dyDescent="0.2">
      <c r="A3698">
        <v>736787.65500000003</v>
      </c>
      <c r="B3698">
        <v>-149.59609699999999</v>
      </c>
      <c r="C3698">
        <v>-17.024248</v>
      </c>
      <c r="D3698">
        <v>170.9</v>
      </c>
      <c r="E3698">
        <v>30.5</v>
      </c>
      <c r="F3698">
        <v>10.43</v>
      </c>
    </row>
    <row r="3699" spans="1:6" x14ac:dyDescent="0.2">
      <c r="A3699">
        <v>736787.65500000003</v>
      </c>
      <c r="B3699">
        <v>-149.59611100000001</v>
      </c>
      <c r="C3699">
        <v>-17.024245000000001</v>
      </c>
      <c r="D3699">
        <v>170.9</v>
      </c>
      <c r="E3699">
        <v>30.5</v>
      </c>
      <c r="F3699">
        <v>10.43</v>
      </c>
    </row>
    <row r="3700" spans="1:6" x14ac:dyDescent="0.2">
      <c r="A3700">
        <v>736787.65500000003</v>
      </c>
      <c r="B3700">
        <v>-149.59612200000001</v>
      </c>
      <c r="C3700">
        <v>-17.024238</v>
      </c>
      <c r="D3700">
        <v>170.9</v>
      </c>
      <c r="E3700">
        <v>30.5</v>
      </c>
      <c r="F3700">
        <v>10.43</v>
      </c>
    </row>
    <row r="3701" spans="1:6" x14ac:dyDescent="0.2">
      <c r="A3701">
        <v>736787.65500000003</v>
      </c>
      <c r="B3701">
        <v>-149.59613400000001</v>
      </c>
      <c r="C3701">
        <v>-17.024235999999998</v>
      </c>
      <c r="D3701">
        <v>170.9</v>
      </c>
      <c r="E3701">
        <v>30.5</v>
      </c>
      <c r="F3701">
        <v>10.43</v>
      </c>
    </row>
    <row r="3702" spans="1:6" x14ac:dyDescent="0.2">
      <c r="A3702">
        <v>736787.65500000003</v>
      </c>
      <c r="B3702">
        <v>-149.59614500000001</v>
      </c>
      <c r="C3702">
        <v>-17.024238</v>
      </c>
      <c r="D3702">
        <v>170.9</v>
      </c>
      <c r="E3702">
        <v>30.5</v>
      </c>
      <c r="F3702">
        <v>10.43</v>
      </c>
    </row>
    <row r="3703" spans="1:6" x14ac:dyDescent="0.2">
      <c r="A3703">
        <v>736787.65500000003</v>
      </c>
      <c r="B3703">
        <v>-149.59615600000001</v>
      </c>
      <c r="C3703">
        <v>-17.024235000000001</v>
      </c>
      <c r="D3703">
        <v>170.9</v>
      </c>
      <c r="E3703">
        <v>30.5</v>
      </c>
      <c r="F3703">
        <v>10.43</v>
      </c>
    </row>
    <row r="3704" spans="1:6" x14ac:dyDescent="0.2">
      <c r="A3704">
        <v>736787.65500000003</v>
      </c>
      <c r="B3704">
        <v>-149.59617299999999</v>
      </c>
      <c r="C3704">
        <v>-17.024235999999998</v>
      </c>
      <c r="D3704">
        <v>170.9</v>
      </c>
      <c r="E3704">
        <v>30.5</v>
      </c>
      <c r="F3704">
        <v>10.43</v>
      </c>
    </row>
    <row r="3705" spans="1:6" x14ac:dyDescent="0.2">
      <c r="A3705">
        <v>736787.65500000003</v>
      </c>
      <c r="B3705">
        <v>-149.59618499999999</v>
      </c>
      <c r="C3705">
        <v>-17.024232999999999</v>
      </c>
      <c r="D3705">
        <v>170.9</v>
      </c>
      <c r="E3705">
        <v>30.5</v>
      </c>
      <c r="F3705">
        <v>10.43</v>
      </c>
    </row>
    <row r="3706" spans="1:6" x14ac:dyDescent="0.2">
      <c r="A3706">
        <v>736787.65509999997</v>
      </c>
      <c r="B3706">
        <v>-149.59619799999999</v>
      </c>
      <c r="C3706">
        <v>-17.024225999999999</v>
      </c>
      <c r="D3706">
        <v>168.680799954939</v>
      </c>
      <c r="E3706">
        <v>30.5</v>
      </c>
      <c r="F3706">
        <v>10.3017599974251</v>
      </c>
    </row>
    <row r="3707" spans="1:6" x14ac:dyDescent="0.2">
      <c r="A3707">
        <v>736787.65509999997</v>
      </c>
      <c r="B3707">
        <v>-149.59621100000001</v>
      </c>
      <c r="C3707">
        <v>-17.024217</v>
      </c>
      <c r="D3707">
        <v>168.680799954939</v>
      </c>
      <c r="E3707">
        <v>30.5</v>
      </c>
      <c r="F3707">
        <v>10.3017599974251</v>
      </c>
    </row>
    <row r="3708" spans="1:6" x14ac:dyDescent="0.2">
      <c r="A3708">
        <v>736787.65509999997</v>
      </c>
      <c r="B3708">
        <v>-149.59622200000001</v>
      </c>
      <c r="C3708">
        <v>-17.024213</v>
      </c>
      <c r="D3708">
        <v>168.680799954939</v>
      </c>
      <c r="E3708">
        <v>30.5</v>
      </c>
      <c r="F3708">
        <v>10.3017599974251</v>
      </c>
    </row>
    <row r="3709" spans="1:6" x14ac:dyDescent="0.2">
      <c r="A3709">
        <v>736787.65509999997</v>
      </c>
      <c r="B3709">
        <v>-149.59622899999999</v>
      </c>
      <c r="C3709">
        <v>-17.024206</v>
      </c>
      <c r="D3709">
        <v>168.680799954939</v>
      </c>
      <c r="E3709">
        <v>30.5</v>
      </c>
      <c r="F3709">
        <v>10.3017599974251</v>
      </c>
    </row>
    <row r="3710" spans="1:6" x14ac:dyDescent="0.2">
      <c r="A3710">
        <v>736787.65509999997</v>
      </c>
      <c r="B3710">
        <v>-149.596251</v>
      </c>
      <c r="C3710">
        <v>-17.024197000000001</v>
      </c>
      <c r="D3710">
        <v>168.680799954939</v>
      </c>
      <c r="E3710">
        <v>30.5</v>
      </c>
      <c r="F3710">
        <v>10.3017599974251</v>
      </c>
    </row>
    <row r="3711" spans="1:6" x14ac:dyDescent="0.2">
      <c r="A3711">
        <v>736787.65509999997</v>
      </c>
      <c r="B3711">
        <v>-149.59626299999999</v>
      </c>
      <c r="C3711">
        <v>-17.024187999999999</v>
      </c>
      <c r="D3711">
        <v>168.680799954939</v>
      </c>
      <c r="E3711">
        <v>30.5</v>
      </c>
      <c r="F3711">
        <v>10.3017599974251</v>
      </c>
    </row>
    <row r="3712" spans="1:6" x14ac:dyDescent="0.2">
      <c r="A3712">
        <v>736787.65520000004</v>
      </c>
      <c r="B3712">
        <v>-149.59627599999999</v>
      </c>
      <c r="C3712">
        <v>-17.024183000000001</v>
      </c>
      <c r="D3712">
        <v>167.61599990344101</v>
      </c>
      <c r="E3712">
        <v>30.5</v>
      </c>
      <c r="F3712">
        <v>10.2443999935627</v>
      </c>
    </row>
    <row r="3713" spans="1:6" x14ac:dyDescent="0.2">
      <c r="A3713">
        <v>736787.65520000004</v>
      </c>
      <c r="B3713">
        <v>-149.59628699999999</v>
      </c>
      <c r="C3713">
        <v>-17.024177000000002</v>
      </c>
      <c r="D3713">
        <v>167.61599990344101</v>
      </c>
      <c r="E3713">
        <v>30.5</v>
      </c>
      <c r="F3713">
        <v>10.2443999935627</v>
      </c>
    </row>
    <row r="3714" spans="1:6" x14ac:dyDescent="0.2">
      <c r="A3714">
        <v>736787.65520000004</v>
      </c>
      <c r="B3714">
        <v>-149.59630200000001</v>
      </c>
      <c r="C3714">
        <v>-17.024170000000002</v>
      </c>
      <c r="D3714">
        <v>167.61599990344101</v>
      </c>
      <c r="E3714">
        <v>30.5</v>
      </c>
      <c r="F3714">
        <v>10.2443999935627</v>
      </c>
    </row>
    <row r="3715" spans="1:6" x14ac:dyDescent="0.2">
      <c r="A3715">
        <v>736787.65520000004</v>
      </c>
      <c r="B3715">
        <v>-149.59631400000001</v>
      </c>
      <c r="C3715">
        <v>-17.024165</v>
      </c>
      <c r="D3715">
        <v>167.61599990344101</v>
      </c>
      <c r="E3715">
        <v>30.5</v>
      </c>
      <c r="F3715">
        <v>10.2443999935627</v>
      </c>
    </row>
    <row r="3716" spans="1:6" x14ac:dyDescent="0.2">
      <c r="A3716">
        <v>736787.65520000004</v>
      </c>
      <c r="B3716">
        <v>-149.59632500000001</v>
      </c>
      <c r="C3716">
        <v>-17.024163999999999</v>
      </c>
      <c r="D3716">
        <v>167.61599990344101</v>
      </c>
      <c r="E3716">
        <v>30.5</v>
      </c>
      <c r="F3716">
        <v>10.2443999935627</v>
      </c>
    </row>
    <row r="3717" spans="1:6" x14ac:dyDescent="0.2">
      <c r="A3717">
        <v>736787.65520000004</v>
      </c>
      <c r="B3717">
        <v>-149.596339</v>
      </c>
      <c r="C3717">
        <v>-17.024158</v>
      </c>
      <c r="D3717">
        <v>167.61599990344101</v>
      </c>
      <c r="E3717">
        <v>30.5</v>
      </c>
      <c r="F3717">
        <v>10.2443999935627</v>
      </c>
    </row>
    <row r="3718" spans="1:6" x14ac:dyDescent="0.2">
      <c r="A3718">
        <v>736787.65520000004</v>
      </c>
      <c r="B3718">
        <v>-149.59635599999999</v>
      </c>
      <c r="C3718">
        <v>-17.024152000000001</v>
      </c>
      <c r="D3718">
        <v>167.61599990344101</v>
      </c>
      <c r="E3718">
        <v>30.5</v>
      </c>
      <c r="F3718">
        <v>10.2443999935627</v>
      </c>
    </row>
    <row r="3719" spans="1:6" x14ac:dyDescent="0.2">
      <c r="A3719">
        <v>736787.65529999998</v>
      </c>
      <c r="B3719">
        <v>-149.59637000000001</v>
      </c>
      <c r="C3719">
        <v>-17.024149000000001</v>
      </c>
      <c r="D3719">
        <v>165.2</v>
      </c>
      <c r="E3719">
        <v>30.4</v>
      </c>
      <c r="F3719">
        <v>10.108159999034401</v>
      </c>
    </row>
    <row r="3720" spans="1:6" x14ac:dyDescent="0.2">
      <c r="A3720">
        <v>736787.65529999998</v>
      </c>
      <c r="B3720">
        <v>-149.59637699999999</v>
      </c>
      <c r="C3720">
        <v>-17.024142999999999</v>
      </c>
      <c r="D3720">
        <v>165.2</v>
      </c>
      <c r="E3720">
        <v>30.4</v>
      </c>
      <c r="F3720">
        <v>10.108159999034401</v>
      </c>
    </row>
    <row r="3721" spans="1:6" x14ac:dyDescent="0.2">
      <c r="A3721">
        <v>736787.65529999998</v>
      </c>
      <c r="B3721">
        <v>-149.59638799999999</v>
      </c>
      <c r="C3721">
        <v>-17.024139999999999</v>
      </c>
      <c r="D3721">
        <v>165.2</v>
      </c>
      <c r="E3721">
        <v>30.4</v>
      </c>
      <c r="F3721">
        <v>10.108159999034401</v>
      </c>
    </row>
    <row r="3722" spans="1:6" x14ac:dyDescent="0.2">
      <c r="A3722">
        <v>736787.65529999998</v>
      </c>
      <c r="B3722">
        <v>-149.59639899999999</v>
      </c>
      <c r="C3722">
        <v>-17.024135999999999</v>
      </c>
      <c r="D3722">
        <v>165.2</v>
      </c>
      <c r="E3722">
        <v>30.4</v>
      </c>
      <c r="F3722">
        <v>10.108159999034401</v>
      </c>
    </row>
    <row r="3723" spans="1:6" x14ac:dyDescent="0.2">
      <c r="A3723">
        <v>736787.65529999998</v>
      </c>
      <c r="B3723">
        <v>-149.59640999999999</v>
      </c>
      <c r="C3723">
        <v>-17.024128999999999</v>
      </c>
      <c r="D3723">
        <v>165.2</v>
      </c>
      <c r="E3723">
        <v>30.4</v>
      </c>
      <c r="F3723">
        <v>10.108159999034401</v>
      </c>
    </row>
    <row r="3724" spans="1:6" x14ac:dyDescent="0.2">
      <c r="A3724">
        <v>736787.65529999998</v>
      </c>
      <c r="B3724">
        <v>-149.59641400000001</v>
      </c>
      <c r="C3724">
        <v>-17.02412</v>
      </c>
      <c r="D3724">
        <v>165.2</v>
      </c>
      <c r="E3724">
        <v>30.4</v>
      </c>
      <c r="F3724">
        <v>10.108159999034401</v>
      </c>
    </row>
    <row r="3725" spans="1:6" x14ac:dyDescent="0.2">
      <c r="A3725">
        <v>736787.65529999998</v>
      </c>
      <c r="B3725">
        <v>-149.59642400000001</v>
      </c>
      <c r="C3725">
        <v>-17.024107000000001</v>
      </c>
      <c r="D3725">
        <v>165.2</v>
      </c>
      <c r="E3725">
        <v>30.4</v>
      </c>
      <c r="F3725">
        <v>10.108159999034401</v>
      </c>
    </row>
    <row r="3726" spans="1:6" x14ac:dyDescent="0.2">
      <c r="A3726">
        <v>736787.65529999998</v>
      </c>
      <c r="B3726">
        <v>-149.59643500000001</v>
      </c>
      <c r="C3726">
        <v>-17.024097000000001</v>
      </c>
      <c r="D3726">
        <v>165.2</v>
      </c>
      <c r="E3726">
        <v>30.4</v>
      </c>
      <c r="F3726">
        <v>10.108159999034401</v>
      </c>
    </row>
    <row r="3727" spans="1:6" x14ac:dyDescent="0.2">
      <c r="A3727">
        <v>736787.65540000005</v>
      </c>
      <c r="B3727">
        <v>-149.596441</v>
      </c>
      <c r="C3727">
        <v>-17.024086</v>
      </c>
      <c r="D3727">
        <v>164.01439983263</v>
      </c>
      <c r="E3727">
        <v>30.4</v>
      </c>
      <c r="F3727">
        <v>10.0361599909878</v>
      </c>
    </row>
    <row r="3728" spans="1:6" x14ac:dyDescent="0.2">
      <c r="A3728">
        <v>736787.65540000005</v>
      </c>
      <c r="B3728">
        <v>-149.596451</v>
      </c>
      <c r="C3728">
        <v>-17.024083000000001</v>
      </c>
      <c r="D3728">
        <v>164.01439983263</v>
      </c>
      <c r="E3728">
        <v>30.4</v>
      </c>
      <c r="F3728">
        <v>10.0361599909878</v>
      </c>
    </row>
    <row r="3729" spans="1:6" x14ac:dyDescent="0.2">
      <c r="A3729">
        <v>736787.65540000005</v>
      </c>
      <c r="B3729">
        <v>-149.59646100000001</v>
      </c>
      <c r="C3729">
        <v>-17.024075</v>
      </c>
      <c r="D3729">
        <v>164.01439983263</v>
      </c>
      <c r="E3729">
        <v>30.4</v>
      </c>
      <c r="F3729">
        <v>10.0361599909878</v>
      </c>
    </row>
    <row r="3730" spans="1:6" x14ac:dyDescent="0.2">
      <c r="A3730">
        <v>736787.65540000005</v>
      </c>
      <c r="B3730">
        <v>-149.59647200000001</v>
      </c>
      <c r="C3730">
        <v>-17.024059999999999</v>
      </c>
      <c r="D3730">
        <v>164.01439983263</v>
      </c>
      <c r="E3730">
        <v>30.4</v>
      </c>
      <c r="F3730">
        <v>10.0361599909878</v>
      </c>
    </row>
    <row r="3731" spans="1:6" x14ac:dyDescent="0.2">
      <c r="A3731">
        <v>736787.65540000005</v>
      </c>
      <c r="B3731">
        <v>-149.59648300000001</v>
      </c>
      <c r="C3731">
        <v>-17.024049999999999</v>
      </c>
      <c r="D3731">
        <v>164.01439983263</v>
      </c>
      <c r="E3731">
        <v>30.4</v>
      </c>
      <c r="F3731">
        <v>10.0361599909878</v>
      </c>
    </row>
    <row r="3732" spans="1:6" x14ac:dyDescent="0.2">
      <c r="A3732">
        <v>736787.65549999999</v>
      </c>
      <c r="B3732">
        <v>-149.596496</v>
      </c>
      <c r="C3732">
        <v>-17.024038999999998</v>
      </c>
      <c r="D3732">
        <v>161.675999742508</v>
      </c>
      <c r="E3732">
        <v>30.335999983906799</v>
      </c>
      <c r="F3732">
        <v>9.9023999855160802</v>
      </c>
    </row>
    <row r="3733" spans="1:6" x14ac:dyDescent="0.2">
      <c r="A3733">
        <v>736787.65549999999</v>
      </c>
      <c r="B3733">
        <v>-149.596509</v>
      </c>
      <c r="C3733">
        <v>-17.024032999999999</v>
      </c>
      <c r="D3733">
        <v>161.675999742508</v>
      </c>
      <c r="E3733">
        <v>30.335999983906799</v>
      </c>
      <c r="F3733">
        <v>9.9023999855160802</v>
      </c>
    </row>
    <row r="3734" spans="1:6" x14ac:dyDescent="0.2">
      <c r="A3734">
        <v>736787.65549999999</v>
      </c>
      <c r="B3734">
        <v>-149.59652399999999</v>
      </c>
      <c r="C3734">
        <v>-17.02403</v>
      </c>
      <c r="D3734">
        <v>161.675999742508</v>
      </c>
      <c r="E3734">
        <v>30.335999983906799</v>
      </c>
      <c r="F3734">
        <v>9.9023999855160802</v>
      </c>
    </row>
    <row r="3735" spans="1:6" x14ac:dyDescent="0.2">
      <c r="A3735">
        <v>736787.65549999999</v>
      </c>
      <c r="B3735">
        <v>-149.59653299999999</v>
      </c>
      <c r="C3735">
        <v>-17.024021000000001</v>
      </c>
      <c r="D3735">
        <v>161.675999742508</v>
      </c>
      <c r="E3735">
        <v>30.335999983906799</v>
      </c>
      <c r="F3735">
        <v>9.9023999855160802</v>
      </c>
    </row>
    <row r="3736" spans="1:6" x14ac:dyDescent="0.2">
      <c r="A3736">
        <v>736787.65549999999</v>
      </c>
      <c r="B3736">
        <v>-149.596542</v>
      </c>
      <c r="C3736">
        <v>-17.024018999999999</v>
      </c>
      <c r="D3736">
        <v>161.675999742508</v>
      </c>
      <c r="E3736">
        <v>30.335999983906799</v>
      </c>
      <c r="F3736">
        <v>9.9023999855160802</v>
      </c>
    </row>
    <row r="3737" spans="1:6" x14ac:dyDescent="0.2">
      <c r="A3737">
        <v>736787.65549999999</v>
      </c>
      <c r="B3737">
        <v>-149.59655000000001</v>
      </c>
      <c r="C3737">
        <v>-17.024013</v>
      </c>
      <c r="D3737">
        <v>161.675999742508</v>
      </c>
      <c r="E3737">
        <v>30.335999983906799</v>
      </c>
      <c r="F3737">
        <v>9.9023999855160802</v>
      </c>
    </row>
    <row r="3738" spans="1:6" x14ac:dyDescent="0.2">
      <c r="A3738">
        <v>736787.65549999999</v>
      </c>
      <c r="B3738">
        <v>-149.59655599999999</v>
      </c>
      <c r="C3738">
        <v>-17.024004000000001</v>
      </c>
      <c r="D3738">
        <v>161.675999742508</v>
      </c>
      <c r="E3738">
        <v>30.335999983906799</v>
      </c>
      <c r="F3738">
        <v>9.9023999855160802</v>
      </c>
    </row>
    <row r="3739" spans="1:6" x14ac:dyDescent="0.2">
      <c r="A3739">
        <v>736787.65549999999</v>
      </c>
      <c r="B3739">
        <v>-149.59656000000001</v>
      </c>
      <c r="C3739">
        <v>-17.023992</v>
      </c>
      <c r="D3739">
        <v>161.675999742508</v>
      </c>
      <c r="E3739">
        <v>30.335999983906799</v>
      </c>
      <c r="F3739">
        <v>9.9023999855160802</v>
      </c>
    </row>
    <row r="3740" spans="1:6" x14ac:dyDescent="0.2">
      <c r="A3740">
        <v>736787.65560000006</v>
      </c>
      <c r="B3740">
        <v>-149.596565</v>
      </c>
      <c r="C3740">
        <v>-17.023979000000001</v>
      </c>
      <c r="D3740">
        <v>160.73199906658999</v>
      </c>
      <c r="E3740">
        <v>30.3</v>
      </c>
      <c r="F3740">
        <v>9.8479199439954002</v>
      </c>
    </row>
    <row r="3741" spans="1:6" x14ac:dyDescent="0.2">
      <c r="A3741">
        <v>736787.65560000006</v>
      </c>
      <c r="B3741">
        <v>-149.59657100000001</v>
      </c>
      <c r="C3741">
        <v>-17.023969000000001</v>
      </c>
      <c r="D3741">
        <v>160.73199906658999</v>
      </c>
      <c r="E3741">
        <v>30.3</v>
      </c>
      <c r="F3741">
        <v>9.8479199439954002</v>
      </c>
    </row>
    <row r="3742" spans="1:6" x14ac:dyDescent="0.2">
      <c r="A3742">
        <v>736787.65560000006</v>
      </c>
      <c r="B3742">
        <v>-149.596576</v>
      </c>
      <c r="C3742">
        <v>-17.023959000000001</v>
      </c>
      <c r="D3742">
        <v>160.73199906658999</v>
      </c>
      <c r="E3742">
        <v>30.3</v>
      </c>
      <c r="F3742">
        <v>9.8479199439954002</v>
      </c>
    </row>
    <row r="3743" spans="1:6" x14ac:dyDescent="0.2">
      <c r="A3743">
        <v>736787.65560000006</v>
      </c>
      <c r="B3743">
        <v>-149.59658400000001</v>
      </c>
      <c r="C3743">
        <v>-17.023949999999999</v>
      </c>
      <c r="D3743">
        <v>160.73199906658999</v>
      </c>
      <c r="E3743">
        <v>30.3</v>
      </c>
      <c r="F3743">
        <v>9.8479199439954002</v>
      </c>
    </row>
    <row r="3744" spans="1:6" x14ac:dyDescent="0.2">
      <c r="A3744">
        <v>736787.65560000006</v>
      </c>
      <c r="B3744">
        <v>-149.596597</v>
      </c>
      <c r="C3744">
        <v>-17.023942000000002</v>
      </c>
      <c r="D3744">
        <v>160.73199906658999</v>
      </c>
      <c r="E3744">
        <v>30.3</v>
      </c>
      <c r="F3744">
        <v>9.8479199439954002</v>
      </c>
    </row>
    <row r="3745" spans="1:6" x14ac:dyDescent="0.2">
      <c r="A3745">
        <v>736787.65560000006</v>
      </c>
      <c r="B3745">
        <v>-149.59660700000001</v>
      </c>
      <c r="C3745">
        <v>-17.023931000000001</v>
      </c>
      <c r="D3745">
        <v>160.73199906658999</v>
      </c>
      <c r="E3745">
        <v>30.3</v>
      </c>
      <c r="F3745">
        <v>9.8479199439954002</v>
      </c>
    </row>
    <row r="3746" spans="1:6" x14ac:dyDescent="0.2">
      <c r="A3746">
        <v>736787.65560000006</v>
      </c>
      <c r="B3746">
        <v>-149.596622</v>
      </c>
      <c r="C3746">
        <v>-17.023924000000001</v>
      </c>
      <c r="D3746">
        <v>160.73199906658999</v>
      </c>
      <c r="E3746">
        <v>30.3</v>
      </c>
      <c r="F3746">
        <v>9.8479199439954002</v>
      </c>
    </row>
    <row r="3747" spans="1:6" x14ac:dyDescent="0.2">
      <c r="A3747">
        <v>736787.65560000006</v>
      </c>
      <c r="B3747">
        <v>-149.596632</v>
      </c>
      <c r="C3747">
        <v>-17.023914000000001</v>
      </c>
      <c r="D3747">
        <v>160.73199906658999</v>
      </c>
      <c r="E3747">
        <v>30.3</v>
      </c>
      <c r="F3747">
        <v>9.8479199439954002</v>
      </c>
    </row>
    <row r="3748" spans="1:6" x14ac:dyDescent="0.2">
      <c r="A3748">
        <v>736787.6557</v>
      </c>
      <c r="B3748">
        <v>-149.596644</v>
      </c>
      <c r="C3748">
        <v>-17.023903000000001</v>
      </c>
      <c r="D3748">
        <v>160.4</v>
      </c>
      <c r="E3748">
        <v>30.290399977469502</v>
      </c>
      <c r="F3748">
        <v>9.8309600022530503</v>
      </c>
    </row>
    <row r="3749" spans="1:6" x14ac:dyDescent="0.2">
      <c r="A3749">
        <v>736787.6557</v>
      </c>
      <c r="B3749">
        <v>-149.596656</v>
      </c>
      <c r="C3749">
        <v>-17.023897999999999</v>
      </c>
      <c r="D3749">
        <v>160.4</v>
      </c>
      <c r="E3749">
        <v>30.290399977469502</v>
      </c>
      <c r="F3749">
        <v>9.8309600022530503</v>
      </c>
    </row>
    <row r="3750" spans="1:6" x14ac:dyDescent="0.2">
      <c r="A3750">
        <v>736787.6557</v>
      </c>
      <c r="B3750">
        <v>-149.596666</v>
      </c>
      <c r="C3750">
        <v>-17.023893000000001</v>
      </c>
      <c r="D3750">
        <v>160.4</v>
      </c>
      <c r="E3750">
        <v>30.290399977469502</v>
      </c>
      <c r="F3750">
        <v>9.8309600022530503</v>
      </c>
    </row>
    <row r="3751" spans="1:6" x14ac:dyDescent="0.2">
      <c r="A3751">
        <v>736787.6557</v>
      </c>
      <c r="B3751">
        <v>-149.596678</v>
      </c>
      <c r="C3751">
        <v>-17.023886000000001</v>
      </c>
      <c r="D3751">
        <v>160.4</v>
      </c>
      <c r="E3751">
        <v>30.290399977469502</v>
      </c>
      <c r="F3751">
        <v>9.8309600022530503</v>
      </c>
    </row>
    <row r="3752" spans="1:6" x14ac:dyDescent="0.2">
      <c r="A3752">
        <v>736787.6557</v>
      </c>
      <c r="B3752">
        <v>-149.596688</v>
      </c>
      <c r="C3752">
        <v>-17.023880999999999</v>
      </c>
      <c r="D3752">
        <v>160.4</v>
      </c>
      <c r="E3752">
        <v>30.290399977469502</v>
      </c>
      <c r="F3752">
        <v>9.8309600022530503</v>
      </c>
    </row>
    <row r="3753" spans="1:6" x14ac:dyDescent="0.2">
      <c r="A3753">
        <v>736787.6557</v>
      </c>
      <c r="B3753">
        <v>-149.596699</v>
      </c>
      <c r="C3753">
        <v>-17.023872000000001</v>
      </c>
      <c r="D3753">
        <v>160.4</v>
      </c>
      <c r="E3753">
        <v>30.290399977469502</v>
      </c>
      <c r="F3753">
        <v>9.8309600022530503</v>
      </c>
    </row>
    <row r="3754" spans="1:6" x14ac:dyDescent="0.2">
      <c r="A3754">
        <v>736787.6557</v>
      </c>
      <c r="B3754">
        <v>-149.59670700000001</v>
      </c>
      <c r="C3754">
        <v>-17.023866000000002</v>
      </c>
      <c r="D3754">
        <v>160.4</v>
      </c>
      <c r="E3754">
        <v>30.290399977469502</v>
      </c>
      <c r="F3754">
        <v>9.8309600022530503</v>
      </c>
    </row>
    <row r="3755" spans="1:6" x14ac:dyDescent="0.2">
      <c r="A3755">
        <v>736787.65579999995</v>
      </c>
      <c r="B3755">
        <v>-149.59671299999999</v>
      </c>
      <c r="C3755">
        <v>-17.023857</v>
      </c>
      <c r="D3755">
        <v>158.916803157495</v>
      </c>
      <c r="E3755">
        <v>30.2</v>
      </c>
      <c r="F3755">
        <v>9.7493601929579992</v>
      </c>
    </row>
    <row r="3756" spans="1:6" x14ac:dyDescent="0.2">
      <c r="A3756">
        <v>736787.65579999995</v>
      </c>
      <c r="B3756">
        <v>-149.59672</v>
      </c>
      <c r="C3756">
        <v>-17.023842999999999</v>
      </c>
      <c r="D3756">
        <v>158.916803157495</v>
      </c>
      <c r="E3756">
        <v>30.2</v>
      </c>
      <c r="F3756">
        <v>9.7493601929579992</v>
      </c>
    </row>
    <row r="3757" spans="1:6" x14ac:dyDescent="0.2">
      <c r="A3757">
        <v>736787.65579999995</v>
      </c>
      <c r="B3757">
        <v>-149.59672399999999</v>
      </c>
      <c r="C3757">
        <v>-17.023831999999999</v>
      </c>
      <c r="D3757">
        <v>158.916803157495</v>
      </c>
      <c r="E3757">
        <v>30.2</v>
      </c>
      <c r="F3757">
        <v>9.7493601929579992</v>
      </c>
    </row>
    <row r="3758" spans="1:6" x14ac:dyDescent="0.2">
      <c r="A3758">
        <v>736787.65579999995</v>
      </c>
      <c r="B3758">
        <v>-149.59672900000001</v>
      </c>
      <c r="C3758">
        <v>-17.023821999999999</v>
      </c>
      <c r="D3758">
        <v>158.916803157495</v>
      </c>
      <c r="E3758">
        <v>30.2</v>
      </c>
      <c r="F3758">
        <v>9.7493601929579992</v>
      </c>
    </row>
    <row r="3759" spans="1:6" x14ac:dyDescent="0.2">
      <c r="A3759">
        <v>736787.65579999995</v>
      </c>
      <c r="B3759">
        <v>-149.596734</v>
      </c>
      <c r="C3759">
        <v>-17.023806</v>
      </c>
      <c r="D3759">
        <v>158.916803157495</v>
      </c>
      <c r="E3759">
        <v>30.2</v>
      </c>
      <c r="F3759">
        <v>9.7493601929579992</v>
      </c>
    </row>
    <row r="3760" spans="1:6" x14ac:dyDescent="0.2">
      <c r="A3760">
        <v>736787.65579999995</v>
      </c>
      <c r="B3760">
        <v>-149.59674100000001</v>
      </c>
      <c r="C3760">
        <v>-17.023797999999999</v>
      </c>
      <c r="D3760">
        <v>158.916803157495</v>
      </c>
      <c r="E3760">
        <v>30.2</v>
      </c>
      <c r="F3760">
        <v>9.7493601929579992</v>
      </c>
    </row>
    <row r="3761" spans="1:6" x14ac:dyDescent="0.2">
      <c r="A3761">
        <v>736787.65590000001</v>
      </c>
      <c r="B3761">
        <v>-149.596743</v>
      </c>
      <c r="C3761">
        <v>-17.023788</v>
      </c>
      <c r="D3761">
        <v>157</v>
      </c>
      <c r="E3761">
        <v>30.2</v>
      </c>
      <c r="F3761">
        <v>9.6355200028967793</v>
      </c>
    </row>
    <row r="3762" spans="1:6" x14ac:dyDescent="0.2">
      <c r="A3762">
        <v>736787.65590000001</v>
      </c>
      <c r="B3762">
        <v>-149.596754</v>
      </c>
      <c r="C3762">
        <v>-17.023776999999999</v>
      </c>
      <c r="D3762">
        <v>157</v>
      </c>
      <c r="E3762">
        <v>30.2</v>
      </c>
      <c r="F3762">
        <v>9.6355200028967793</v>
      </c>
    </row>
    <row r="3763" spans="1:6" x14ac:dyDescent="0.2">
      <c r="A3763">
        <v>736787.65590000001</v>
      </c>
      <c r="B3763">
        <v>-149.59676200000001</v>
      </c>
      <c r="C3763">
        <v>-17.023766999999999</v>
      </c>
      <c r="D3763">
        <v>157</v>
      </c>
      <c r="E3763">
        <v>30.2</v>
      </c>
      <c r="F3763">
        <v>9.6355200028967793</v>
      </c>
    </row>
    <row r="3764" spans="1:6" x14ac:dyDescent="0.2">
      <c r="A3764">
        <v>736787.65590000001</v>
      </c>
      <c r="B3764">
        <v>-149.59677199999999</v>
      </c>
      <c r="C3764">
        <v>-17.023752999999999</v>
      </c>
      <c r="D3764">
        <v>157</v>
      </c>
      <c r="E3764">
        <v>30.2</v>
      </c>
      <c r="F3764">
        <v>9.6355200028967793</v>
      </c>
    </row>
    <row r="3765" spans="1:6" x14ac:dyDescent="0.2">
      <c r="A3765">
        <v>736787.65590000001</v>
      </c>
      <c r="B3765">
        <v>-149.59678400000001</v>
      </c>
      <c r="C3765">
        <v>-17.023744000000001</v>
      </c>
      <c r="D3765">
        <v>157</v>
      </c>
      <c r="E3765">
        <v>30.2</v>
      </c>
      <c r="F3765">
        <v>9.6355200028967793</v>
      </c>
    </row>
    <row r="3766" spans="1:6" x14ac:dyDescent="0.2">
      <c r="A3766">
        <v>736787.65590000001</v>
      </c>
      <c r="B3766">
        <v>-149.59679399999999</v>
      </c>
      <c r="C3766">
        <v>-17.023734999999999</v>
      </c>
      <c r="D3766">
        <v>157</v>
      </c>
      <c r="E3766">
        <v>30.2</v>
      </c>
      <c r="F3766">
        <v>9.6355200028967793</v>
      </c>
    </row>
    <row r="3767" spans="1:6" x14ac:dyDescent="0.2">
      <c r="A3767">
        <v>736787.65590000001</v>
      </c>
      <c r="B3767">
        <v>-149.596799</v>
      </c>
      <c r="C3767">
        <v>-17.023723</v>
      </c>
      <c r="D3767">
        <v>157</v>
      </c>
      <c r="E3767">
        <v>30.2</v>
      </c>
      <c r="F3767">
        <v>9.6355200028967793</v>
      </c>
    </row>
    <row r="3768" spans="1:6" x14ac:dyDescent="0.2">
      <c r="A3768">
        <v>736787.65599999996</v>
      </c>
      <c r="B3768">
        <v>-149.59680399999999</v>
      </c>
      <c r="C3768">
        <v>-17.023714999999999</v>
      </c>
      <c r="D3768">
        <v>155.00800157714099</v>
      </c>
      <c r="E3768">
        <v>30.172000112652899</v>
      </c>
      <c r="F3768">
        <v>9.5176000901223503</v>
      </c>
    </row>
    <row r="3769" spans="1:6" x14ac:dyDescent="0.2">
      <c r="A3769">
        <v>736787.65599999996</v>
      </c>
      <c r="B3769">
        <v>-149.596813</v>
      </c>
      <c r="C3769">
        <v>-17.023707000000002</v>
      </c>
      <c r="D3769">
        <v>155.00800157714099</v>
      </c>
      <c r="E3769">
        <v>30.172000112652899</v>
      </c>
      <c r="F3769">
        <v>9.5176000901223503</v>
      </c>
    </row>
    <row r="3770" spans="1:6" x14ac:dyDescent="0.2">
      <c r="A3770">
        <v>736787.65599999996</v>
      </c>
      <c r="B3770">
        <v>-149.596823</v>
      </c>
      <c r="C3770">
        <v>-17.023695</v>
      </c>
      <c r="D3770">
        <v>155.00800157714099</v>
      </c>
      <c r="E3770">
        <v>30.172000112652899</v>
      </c>
      <c r="F3770">
        <v>9.5176000901223503</v>
      </c>
    </row>
    <row r="3771" spans="1:6" x14ac:dyDescent="0.2">
      <c r="A3771">
        <v>736787.65599999996</v>
      </c>
      <c r="B3771">
        <v>-149.59683100000001</v>
      </c>
      <c r="C3771">
        <v>-17.023689999999998</v>
      </c>
      <c r="D3771">
        <v>155.00800157714099</v>
      </c>
      <c r="E3771">
        <v>30.172000112652899</v>
      </c>
      <c r="F3771">
        <v>9.5176000901223503</v>
      </c>
    </row>
    <row r="3772" spans="1:6" x14ac:dyDescent="0.2">
      <c r="A3772">
        <v>736787.65599999996</v>
      </c>
      <c r="B3772">
        <v>-149.596835</v>
      </c>
      <c r="C3772">
        <v>-17.023682000000001</v>
      </c>
      <c r="D3772">
        <v>155.00800157714099</v>
      </c>
      <c r="E3772">
        <v>30.172000112652899</v>
      </c>
      <c r="F3772">
        <v>9.5176000901223503</v>
      </c>
    </row>
    <row r="3773" spans="1:6" x14ac:dyDescent="0.2">
      <c r="A3773">
        <v>736787.65599999996</v>
      </c>
      <c r="B3773">
        <v>-149.596844</v>
      </c>
      <c r="C3773">
        <v>-17.023672000000001</v>
      </c>
      <c r="D3773">
        <v>155.00800157714099</v>
      </c>
      <c r="E3773">
        <v>30.172000112652899</v>
      </c>
      <c r="F3773">
        <v>9.5176000901223503</v>
      </c>
    </row>
    <row r="3774" spans="1:6" x14ac:dyDescent="0.2">
      <c r="A3774">
        <v>736787.65599999996</v>
      </c>
      <c r="B3774">
        <v>-149.59685500000001</v>
      </c>
      <c r="C3774">
        <v>-17.023661000000001</v>
      </c>
      <c r="D3774">
        <v>155.00800157714099</v>
      </c>
      <c r="E3774">
        <v>30.172000112652899</v>
      </c>
      <c r="F3774">
        <v>9.5176000901223503</v>
      </c>
    </row>
    <row r="3775" spans="1:6" x14ac:dyDescent="0.2">
      <c r="A3775">
        <v>736787.65599999996</v>
      </c>
      <c r="B3775">
        <v>-149.59686199999999</v>
      </c>
      <c r="C3775">
        <v>-17.02365</v>
      </c>
      <c r="D3775">
        <v>155.00800157714099</v>
      </c>
      <c r="E3775">
        <v>30.172000112652899</v>
      </c>
      <c r="F3775">
        <v>9.5176000901223503</v>
      </c>
    </row>
    <row r="3776" spans="1:6" x14ac:dyDescent="0.2">
      <c r="A3776">
        <v>736787.65610000002</v>
      </c>
      <c r="B3776">
        <v>-149.596867</v>
      </c>
      <c r="C3776">
        <v>-17.023631999999999</v>
      </c>
      <c r="D3776">
        <v>153.995999822974</v>
      </c>
      <c r="E3776">
        <v>30.1</v>
      </c>
      <c r="F3776">
        <v>9.4597599893784601</v>
      </c>
    </row>
    <row r="3777" spans="1:6" x14ac:dyDescent="0.2">
      <c r="A3777">
        <v>736787.65610000002</v>
      </c>
      <c r="B3777">
        <v>-149.59687299999999</v>
      </c>
      <c r="C3777">
        <v>-17.023619</v>
      </c>
      <c r="D3777">
        <v>153.995999822974</v>
      </c>
      <c r="E3777">
        <v>30.1</v>
      </c>
      <c r="F3777">
        <v>9.4597599893784601</v>
      </c>
    </row>
    <row r="3778" spans="1:6" x14ac:dyDescent="0.2">
      <c r="A3778">
        <v>736787.65610000002</v>
      </c>
      <c r="B3778">
        <v>-149.59688299999999</v>
      </c>
      <c r="C3778">
        <v>-17.023610000000001</v>
      </c>
      <c r="D3778">
        <v>153.995999822974</v>
      </c>
      <c r="E3778">
        <v>30.1</v>
      </c>
      <c r="F3778">
        <v>9.4597599893784601</v>
      </c>
    </row>
    <row r="3779" spans="1:6" x14ac:dyDescent="0.2">
      <c r="A3779">
        <v>736787.65610000002</v>
      </c>
      <c r="B3779">
        <v>-149.59689</v>
      </c>
      <c r="C3779">
        <v>-17.023599999999998</v>
      </c>
      <c r="D3779">
        <v>153.995999822974</v>
      </c>
      <c r="E3779">
        <v>30.1</v>
      </c>
      <c r="F3779">
        <v>9.4597599893784601</v>
      </c>
    </row>
    <row r="3780" spans="1:6" x14ac:dyDescent="0.2">
      <c r="A3780">
        <v>736787.65610000002</v>
      </c>
      <c r="B3780">
        <v>-149.59689900000001</v>
      </c>
      <c r="C3780">
        <v>-17.023586000000002</v>
      </c>
      <c r="D3780">
        <v>153.995999822974</v>
      </c>
      <c r="E3780">
        <v>30.1</v>
      </c>
      <c r="F3780">
        <v>9.4597599893784601</v>
      </c>
    </row>
    <row r="3781" spans="1:6" x14ac:dyDescent="0.2">
      <c r="A3781">
        <v>736787.65610000002</v>
      </c>
      <c r="B3781">
        <v>-149.59690599999999</v>
      </c>
      <c r="C3781">
        <v>-17.023579999999999</v>
      </c>
      <c r="D3781">
        <v>153.995999822974</v>
      </c>
      <c r="E3781">
        <v>30.1</v>
      </c>
      <c r="F3781">
        <v>9.4597599893784601</v>
      </c>
    </row>
    <row r="3782" spans="1:6" x14ac:dyDescent="0.2">
      <c r="A3782">
        <v>736787.65619999997</v>
      </c>
      <c r="B3782">
        <v>-149.59692200000001</v>
      </c>
      <c r="C3782">
        <v>-17.023567</v>
      </c>
      <c r="D3782">
        <v>153.64719997103199</v>
      </c>
      <c r="E3782">
        <v>30.1</v>
      </c>
      <c r="F3782">
        <v>9.4373599985515995</v>
      </c>
    </row>
    <row r="3783" spans="1:6" x14ac:dyDescent="0.2">
      <c r="A3783">
        <v>736787.65619999997</v>
      </c>
      <c r="B3783">
        <v>-149.59693300000001</v>
      </c>
      <c r="C3783">
        <v>-17.02356</v>
      </c>
      <c r="D3783">
        <v>153.64719997103199</v>
      </c>
      <c r="E3783">
        <v>30.1</v>
      </c>
      <c r="F3783">
        <v>9.4373599985515995</v>
      </c>
    </row>
    <row r="3784" spans="1:6" x14ac:dyDescent="0.2">
      <c r="A3784">
        <v>736787.65619999997</v>
      </c>
      <c r="B3784">
        <v>-149.59694500000001</v>
      </c>
      <c r="C3784">
        <v>-17.023551000000001</v>
      </c>
      <c r="D3784">
        <v>153.64719997103199</v>
      </c>
      <c r="E3784">
        <v>30.1</v>
      </c>
      <c r="F3784">
        <v>9.4373599985515995</v>
      </c>
    </row>
    <row r="3785" spans="1:6" x14ac:dyDescent="0.2">
      <c r="A3785">
        <v>736787.65619999997</v>
      </c>
      <c r="B3785">
        <v>-149.59695500000001</v>
      </c>
      <c r="C3785">
        <v>-17.023540000000001</v>
      </c>
      <c r="D3785">
        <v>153.64719997103199</v>
      </c>
      <c r="E3785">
        <v>30.1</v>
      </c>
      <c r="F3785">
        <v>9.4373599985515995</v>
      </c>
    </row>
    <row r="3786" spans="1:6" x14ac:dyDescent="0.2">
      <c r="A3786">
        <v>736787.65619999997</v>
      </c>
      <c r="B3786">
        <v>-149.59696400000001</v>
      </c>
      <c r="C3786">
        <v>-17.023534999999999</v>
      </c>
      <c r="D3786">
        <v>153.64719997103199</v>
      </c>
      <c r="E3786">
        <v>30.1</v>
      </c>
      <c r="F3786">
        <v>9.4373599985515995</v>
      </c>
    </row>
    <row r="3787" spans="1:6" x14ac:dyDescent="0.2">
      <c r="A3787">
        <v>736787.65619999997</v>
      </c>
      <c r="B3787">
        <v>-149.596979</v>
      </c>
      <c r="C3787">
        <v>-17.023520999999999</v>
      </c>
      <c r="D3787">
        <v>153.64719997103199</v>
      </c>
      <c r="E3787">
        <v>30.1</v>
      </c>
      <c r="F3787">
        <v>9.4373599985515995</v>
      </c>
    </row>
    <row r="3788" spans="1:6" x14ac:dyDescent="0.2">
      <c r="A3788">
        <v>736787.65619999997</v>
      </c>
      <c r="B3788">
        <v>-149.59698800000001</v>
      </c>
      <c r="C3788">
        <v>-17.023509000000001</v>
      </c>
      <c r="D3788">
        <v>153.64719997103199</v>
      </c>
      <c r="E3788">
        <v>30.1</v>
      </c>
      <c r="F3788">
        <v>9.4373599985515995</v>
      </c>
    </row>
    <row r="3789" spans="1:6" x14ac:dyDescent="0.2">
      <c r="A3789">
        <v>736787.65630000003</v>
      </c>
      <c r="B3789">
        <v>-149.59699000000001</v>
      </c>
      <c r="C3789">
        <v>-17.023496999999999</v>
      </c>
      <c r="D3789">
        <v>153.69999999999999</v>
      </c>
      <c r="E3789">
        <v>30.1</v>
      </c>
      <c r="F3789">
        <v>9.44</v>
      </c>
    </row>
    <row r="3790" spans="1:6" x14ac:dyDescent="0.2">
      <c r="A3790">
        <v>736787.65630000003</v>
      </c>
      <c r="B3790">
        <v>-149.59699900000001</v>
      </c>
      <c r="C3790">
        <v>-17.023482999999999</v>
      </c>
      <c r="D3790">
        <v>153.69999999999999</v>
      </c>
      <c r="E3790">
        <v>30.1</v>
      </c>
      <c r="F3790">
        <v>9.44</v>
      </c>
    </row>
    <row r="3791" spans="1:6" x14ac:dyDescent="0.2">
      <c r="A3791">
        <v>736787.65630000003</v>
      </c>
      <c r="B3791">
        <v>-149.59700100000001</v>
      </c>
      <c r="C3791">
        <v>-17.023467</v>
      </c>
      <c r="D3791">
        <v>153.69999999999999</v>
      </c>
      <c r="E3791">
        <v>30.1</v>
      </c>
      <c r="F3791">
        <v>9.44</v>
      </c>
    </row>
    <row r="3792" spans="1:6" x14ac:dyDescent="0.2">
      <c r="A3792">
        <v>736787.65630000003</v>
      </c>
      <c r="B3792">
        <v>-149.59700599999999</v>
      </c>
      <c r="C3792">
        <v>-17.023454999999998</v>
      </c>
      <c r="D3792">
        <v>153.69999999999999</v>
      </c>
      <c r="E3792">
        <v>30.1</v>
      </c>
      <c r="F3792">
        <v>9.44</v>
      </c>
    </row>
    <row r="3793" spans="1:6" x14ac:dyDescent="0.2">
      <c r="A3793">
        <v>736787.65630000003</v>
      </c>
      <c r="B3793">
        <v>-149.597015</v>
      </c>
      <c r="C3793">
        <v>-17.023437000000001</v>
      </c>
      <c r="D3793">
        <v>153.69999999999999</v>
      </c>
      <c r="E3793">
        <v>30.1</v>
      </c>
      <c r="F3793">
        <v>9.44</v>
      </c>
    </row>
    <row r="3794" spans="1:6" x14ac:dyDescent="0.2">
      <c r="A3794">
        <v>736787.65630000003</v>
      </c>
      <c r="B3794">
        <v>-149.59702100000001</v>
      </c>
      <c r="C3794">
        <v>-17.023423999999999</v>
      </c>
      <c r="D3794">
        <v>153.69999999999999</v>
      </c>
      <c r="E3794">
        <v>30.1</v>
      </c>
      <c r="F3794">
        <v>9.44</v>
      </c>
    </row>
    <row r="3795" spans="1:6" x14ac:dyDescent="0.2">
      <c r="A3795">
        <v>736787.65630000003</v>
      </c>
      <c r="B3795">
        <v>-149.597024</v>
      </c>
      <c r="C3795">
        <v>-17.023409999999998</v>
      </c>
      <c r="D3795">
        <v>153.69999999999999</v>
      </c>
      <c r="E3795">
        <v>30.1</v>
      </c>
      <c r="F3795">
        <v>9.44</v>
      </c>
    </row>
    <row r="3796" spans="1:6" x14ac:dyDescent="0.2">
      <c r="A3796">
        <v>736787.65639999998</v>
      </c>
      <c r="B3796">
        <v>-149.59702799999999</v>
      </c>
      <c r="C3796">
        <v>-17.023401</v>
      </c>
      <c r="D3796">
        <v>153.55360036048901</v>
      </c>
      <c r="E3796">
        <v>30.1</v>
      </c>
      <c r="F3796">
        <v>9.4376800180244302</v>
      </c>
    </row>
    <row r="3797" spans="1:6" x14ac:dyDescent="0.2">
      <c r="A3797">
        <v>736787.65639999998</v>
      </c>
      <c r="B3797">
        <v>-149.59703099999999</v>
      </c>
      <c r="C3797">
        <v>-17.023391</v>
      </c>
      <c r="D3797">
        <v>153.55360036048901</v>
      </c>
      <c r="E3797">
        <v>30.1</v>
      </c>
      <c r="F3797">
        <v>9.4376800180244302</v>
      </c>
    </row>
    <row r="3798" spans="1:6" x14ac:dyDescent="0.2">
      <c r="A3798">
        <v>736787.65639999998</v>
      </c>
      <c r="B3798">
        <v>-149.597038</v>
      </c>
      <c r="C3798">
        <v>-17.02338</v>
      </c>
      <c r="D3798">
        <v>153.55360036048901</v>
      </c>
      <c r="E3798">
        <v>30.1</v>
      </c>
      <c r="F3798">
        <v>9.4376800180244302</v>
      </c>
    </row>
    <row r="3799" spans="1:6" x14ac:dyDescent="0.2">
      <c r="A3799">
        <v>736787.65639999998</v>
      </c>
      <c r="B3799">
        <v>-149.59704400000001</v>
      </c>
      <c r="C3799">
        <v>-17.023368999999999</v>
      </c>
      <c r="D3799">
        <v>153.55360036048901</v>
      </c>
      <c r="E3799">
        <v>30.1</v>
      </c>
      <c r="F3799">
        <v>9.4376800180244302</v>
      </c>
    </row>
    <row r="3800" spans="1:6" x14ac:dyDescent="0.2">
      <c r="A3800">
        <v>736787.65639999998</v>
      </c>
      <c r="B3800">
        <v>-149.597048</v>
      </c>
      <c r="C3800">
        <v>-17.023358999999999</v>
      </c>
      <c r="D3800">
        <v>153.55360036048901</v>
      </c>
      <c r="E3800">
        <v>30.1</v>
      </c>
      <c r="F3800">
        <v>9.4376800180244302</v>
      </c>
    </row>
    <row r="3801" spans="1:6" x14ac:dyDescent="0.2">
      <c r="A3801">
        <v>736787.65639999998</v>
      </c>
      <c r="B3801">
        <v>-149.59705299999999</v>
      </c>
      <c r="C3801">
        <v>-17.023351000000002</v>
      </c>
      <c r="D3801">
        <v>153.55360036048901</v>
      </c>
      <c r="E3801">
        <v>30.1</v>
      </c>
      <c r="F3801">
        <v>9.4376800180244302</v>
      </c>
    </row>
    <row r="3802" spans="1:6" x14ac:dyDescent="0.2">
      <c r="A3802">
        <v>736787.65639999998</v>
      </c>
      <c r="B3802">
        <v>-149.597059</v>
      </c>
      <c r="C3802">
        <v>-17.023340000000001</v>
      </c>
      <c r="D3802">
        <v>153.55360036048901</v>
      </c>
      <c r="E3802">
        <v>30.1</v>
      </c>
      <c r="F3802">
        <v>9.4376800180244302</v>
      </c>
    </row>
    <row r="3803" spans="1:6" x14ac:dyDescent="0.2">
      <c r="A3803">
        <v>736787.65639999998</v>
      </c>
      <c r="B3803">
        <v>-149.59706299999999</v>
      </c>
      <c r="C3803">
        <v>-17.023326000000001</v>
      </c>
      <c r="D3803">
        <v>153.55360036048901</v>
      </c>
      <c r="E3803">
        <v>30.1</v>
      </c>
      <c r="F3803">
        <v>9.4376800180244302</v>
      </c>
    </row>
    <row r="3804" spans="1:6" x14ac:dyDescent="0.2">
      <c r="A3804">
        <v>736787.65650000004</v>
      </c>
      <c r="B3804">
        <v>-149.59707</v>
      </c>
      <c r="C3804">
        <v>-17.023316000000001</v>
      </c>
      <c r="D3804">
        <v>154.19999999999999</v>
      </c>
      <c r="E3804">
        <v>30.1</v>
      </c>
      <c r="F3804">
        <v>9.4700000000000006</v>
      </c>
    </row>
    <row r="3805" spans="1:6" x14ac:dyDescent="0.2">
      <c r="A3805">
        <v>736787.65650000004</v>
      </c>
      <c r="B3805">
        <v>-149.59707700000001</v>
      </c>
      <c r="C3805">
        <v>-17.023304</v>
      </c>
      <c r="D3805">
        <v>154.19999999999999</v>
      </c>
      <c r="E3805">
        <v>30.1</v>
      </c>
      <c r="F3805">
        <v>9.4700000000000006</v>
      </c>
    </row>
    <row r="3806" spans="1:6" x14ac:dyDescent="0.2">
      <c r="A3806">
        <v>736787.65650000004</v>
      </c>
      <c r="B3806">
        <v>-149.597083</v>
      </c>
      <c r="C3806">
        <v>-17.023294</v>
      </c>
      <c r="D3806">
        <v>154.19999999999999</v>
      </c>
      <c r="E3806">
        <v>30.1</v>
      </c>
      <c r="F3806">
        <v>9.4700000000000006</v>
      </c>
    </row>
    <row r="3807" spans="1:6" x14ac:dyDescent="0.2">
      <c r="A3807">
        <v>736787.65650000004</v>
      </c>
      <c r="B3807">
        <v>-149.59709000000001</v>
      </c>
      <c r="C3807">
        <v>-17.023284</v>
      </c>
      <c r="D3807">
        <v>154.19999999999999</v>
      </c>
      <c r="E3807">
        <v>30.1</v>
      </c>
      <c r="F3807">
        <v>9.4700000000000006</v>
      </c>
    </row>
    <row r="3808" spans="1:6" x14ac:dyDescent="0.2">
      <c r="A3808">
        <v>736787.65650000004</v>
      </c>
      <c r="B3808">
        <v>-149.59709599999999</v>
      </c>
      <c r="C3808">
        <v>-17.023271000000001</v>
      </c>
      <c r="D3808">
        <v>154.19999999999999</v>
      </c>
      <c r="E3808">
        <v>30.1</v>
      </c>
      <c r="F3808">
        <v>9.4700000000000006</v>
      </c>
    </row>
    <row r="3809" spans="1:6" x14ac:dyDescent="0.2">
      <c r="A3809">
        <v>736787.65650000004</v>
      </c>
      <c r="B3809">
        <v>-149.597106</v>
      </c>
      <c r="C3809">
        <v>-17.023261999999999</v>
      </c>
      <c r="D3809">
        <v>154.19999999999999</v>
      </c>
      <c r="E3809">
        <v>30.1</v>
      </c>
      <c r="F3809">
        <v>9.4700000000000006</v>
      </c>
    </row>
    <row r="3810" spans="1:6" x14ac:dyDescent="0.2">
      <c r="A3810">
        <v>736787.65659999999</v>
      </c>
      <c r="B3810">
        <v>-149.59711899999999</v>
      </c>
      <c r="C3810">
        <v>-17.023254000000001</v>
      </c>
      <c r="D3810">
        <v>154.63520001931201</v>
      </c>
      <c r="E3810">
        <v>30.164799980688102</v>
      </c>
      <c r="F3810">
        <v>9.4935200019311896</v>
      </c>
    </row>
    <row r="3811" spans="1:6" x14ac:dyDescent="0.2">
      <c r="A3811">
        <v>736787.65659999999</v>
      </c>
      <c r="B3811">
        <v>-149.59712400000001</v>
      </c>
      <c r="C3811">
        <v>-17.023243000000001</v>
      </c>
      <c r="D3811">
        <v>154.63520001931201</v>
      </c>
      <c r="E3811">
        <v>30.164799980688102</v>
      </c>
      <c r="F3811">
        <v>9.4935200019311896</v>
      </c>
    </row>
    <row r="3812" spans="1:6" x14ac:dyDescent="0.2">
      <c r="A3812">
        <v>736787.65659999999</v>
      </c>
      <c r="B3812">
        <v>-149.59712999999999</v>
      </c>
      <c r="C3812">
        <v>-17.023230000000002</v>
      </c>
      <c r="D3812">
        <v>154.63520001931201</v>
      </c>
      <c r="E3812">
        <v>30.164799980688102</v>
      </c>
      <c r="F3812">
        <v>9.4935200019311896</v>
      </c>
    </row>
    <row r="3813" spans="1:6" x14ac:dyDescent="0.2">
      <c r="A3813">
        <v>736787.65659999999</v>
      </c>
      <c r="B3813">
        <v>-149.59713400000001</v>
      </c>
      <c r="C3813">
        <v>-17.023218</v>
      </c>
      <c r="D3813">
        <v>154.63520001931201</v>
      </c>
      <c r="E3813">
        <v>30.164799980688102</v>
      </c>
      <c r="F3813">
        <v>9.4935200019311896</v>
      </c>
    </row>
    <row r="3814" spans="1:6" x14ac:dyDescent="0.2">
      <c r="A3814">
        <v>736787.65659999999</v>
      </c>
      <c r="B3814">
        <v>-149.59714399999999</v>
      </c>
      <c r="C3814">
        <v>-17.023199999999999</v>
      </c>
      <c r="D3814">
        <v>154.63520001931201</v>
      </c>
      <c r="E3814">
        <v>30.164799980688102</v>
      </c>
      <c r="F3814">
        <v>9.4935200019311896</v>
      </c>
    </row>
    <row r="3815" spans="1:6" x14ac:dyDescent="0.2">
      <c r="A3815">
        <v>736787.65659999999</v>
      </c>
      <c r="B3815">
        <v>-149.59715</v>
      </c>
      <c r="C3815">
        <v>-17.023188999999999</v>
      </c>
      <c r="D3815">
        <v>154.63520001931201</v>
      </c>
      <c r="E3815">
        <v>30.164799980688102</v>
      </c>
      <c r="F3815">
        <v>9.4935200019311896</v>
      </c>
    </row>
    <row r="3816" spans="1:6" x14ac:dyDescent="0.2">
      <c r="A3816">
        <v>736787.65659999999</v>
      </c>
      <c r="B3816">
        <v>-149.59716</v>
      </c>
      <c r="C3816">
        <v>-17.023181000000001</v>
      </c>
      <c r="D3816">
        <v>154.63520001931201</v>
      </c>
      <c r="E3816">
        <v>30.164799980688102</v>
      </c>
      <c r="F3816">
        <v>9.4935200019311896</v>
      </c>
    </row>
    <row r="3817" spans="1:6" x14ac:dyDescent="0.2">
      <c r="A3817">
        <v>736787.65670000005</v>
      </c>
      <c r="B3817">
        <v>-149.59716299999999</v>
      </c>
      <c r="C3817">
        <v>-17.02317</v>
      </c>
      <c r="D3817">
        <v>154.900800437736</v>
      </c>
      <c r="E3817">
        <v>30.2</v>
      </c>
      <c r="F3817">
        <v>9.5088000273585092</v>
      </c>
    </row>
    <row r="3818" spans="1:6" x14ac:dyDescent="0.2">
      <c r="A3818">
        <v>736787.65670000005</v>
      </c>
      <c r="B3818">
        <v>-149.59717000000001</v>
      </c>
      <c r="C3818">
        <v>-17.023161999999999</v>
      </c>
      <c r="D3818">
        <v>154.900800437736</v>
      </c>
      <c r="E3818">
        <v>30.2</v>
      </c>
      <c r="F3818">
        <v>9.5088000273585092</v>
      </c>
    </row>
    <row r="3819" spans="1:6" x14ac:dyDescent="0.2">
      <c r="A3819">
        <v>736787.65670000005</v>
      </c>
      <c r="B3819">
        <v>-149.597182</v>
      </c>
      <c r="C3819">
        <v>-17.023154000000002</v>
      </c>
      <c r="D3819">
        <v>154.900800437736</v>
      </c>
      <c r="E3819">
        <v>30.2</v>
      </c>
      <c r="F3819">
        <v>9.5088000273585092</v>
      </c>
    </row>
    <row r="3820" spans="1:6" x14ac:dyDescent="0.2">
      <c r="A3820">
        <v>736787.65670000005</v>
      </c>
      <c r="B3820">
        <v>-149.59719000000001</v>
      </c>
      <c r="C3820">
        <v>-17.023143999999998</v>
      </c>
      <c r="D3820">
        <v>154.900800437736</v>
      </c>
      <c r="E3820">
        <v>30.2</v>
      </c>
      <c r="F3820">
        <v>9.5088000273585092</v>
      </c>
    </row>
    <row r="3821" spans="1:6" x14ac:dyDescent="0.2">
      <c r="A3821">
        <v>736787.65670000005</v>
      </c>
      <c r="B3821">
        <v>-149.597196</v>
      </c>
      <c r="C3821">
        <v>-17.023133000000001</v>
      </c>
      <c r="D3821">
        <v>154.900800437736</v>
      </c>
      <c r="E3821">
        <v>30.2</v>
      </c>
      <c r="F3821">
        <v>9.5088000273585092</v>
      </c>
    </row>
    <row r="3822" spans="1:6" x14ac:dyDescent="0.2">
      <c r="A3822">
        <v>736787.65670000005</v>
      </c>
      <c r="B3822">
        <v>-149.59720200000001</v>
      </c>
      <c r="C3822">
        <v>-17.023118</v>
      </c>
      <c r="D3822">
        <v>154.900800437736</v>
      </c>
      <c r="E3822">
        <v>30.2</v>
      </c>
      <c r="F3822">
        <v>9.5088000273585092</v>
      </c>
    </row>
    <row r="3823" spans="1:6" x14ac:dyDescent="0.2">
      <c r="A3823">
        <v>736787.65670000005</v>
      </c>
      <c r="B3823">
        <v>-149.59721099999999</v>
      </c>
      <c r="C3823">
        <v>-17.023105999999999</v>
      </c>
      <c r="D3823">
        <v>154.900800437736</v>
      </c>
      <c r="E3823">
        <v>30.2</v>
      </c>
      <c r="F3823">
        <v>9.5088000273585092</v>
      </c>
    </row>
    <row r="3824" spans="1:6" x14ac:dyDescent="0.2">
      <c r="A3824">
        <v>736787.65670000005</v>
      </c>
      <c r="B3824">
        <v>-149.59721200000001</v>
      </c>
      <c r="C3824">
        <v>-17.023091999999998</v>
      </c>
      <c r="D3824">
        <v>154.900800437736</v>
      </c>
      <c r="E3824">
        <v>30.2</v>
      </c>
      <c r="F3824">
        <v>9.5088000273585092</v>
      </c>
    </row>
    <row r="3825" spans="1:6" x14ac:dyDescent="0.2">
      <c r="A3825">
        <v>736787.6568</v>
      </c>
      <c r="B3825">
        <v>-149.597219</v>
      </c>
      <c r="C3825">
        <v>-17.023071999999999</v>
      </c>
      <c r="D3825">
        <v>155.4</v>
      </c>
      <c r="E3825">
        <v>30.1</v>
      </c>
      <c r="F3825">
        <v>9.5489599942064292</v>
      </c>
    </row>
    <row r="3826" spans="1:6" x14ac:dyDescent="0.2">
      <c r="A3826">
        <v>736787.6568</v>
      </c>
      <c r="B3826">
        <v>-149.59722099999999</v>
      </c>
      <c r="C3826">
        <v>-17.023059</v>
      </c>
      <c r="D3826">
        <v>155.4</v>
      </c>
      <c r="E3826">
        <v>30.1</v>
      </c>
      <c r="F3826">
        <v>9.5489599942064292</v>
      </c>
    </row>
    <row r="3827" spans="1:6" x14ac:dyDescent="0.2">
      <c r="A3827">
        <v>736787.6568</v>
      </c>
      <c r="B3827">
        <v>-149.59722400000001</v>
      </c>
      <c r="C3827">
        <v>-17.023043000000001</v>
      </c>
      <c r="D3827">
        <v>155.4</v>
      </c>
      <c r="E3827">
        <v>30.1</v>
      </c>
      <c r="F3827">
        <v>9.5489599942064292</v>
      </c>
    </row>
    <row r="3828" spans="1:6" x14ac:dyDescent="0.2">
      <c r="A3828">
        <v>736787.6568</v>
      </c>
      <c r="B3828">
        <v>-149.597228</v>
      </c>
      <c r="C3828">
        <v>-17.023032000000001</v>
      </c>
      <c r="D3828">
        <v>155.4</v>
      </c>
      <c r="E3828">
        <v>30.1</v>
      </c>
      <c r="F3828">
        <v>9.5489599942064292</v>
      </c>
    </row>
    <row r="3829" spans="1:6" x14ac:dyDescent="0.2">
      <c r="A3829">
        <v>736787.6568</v>
      </c>
      <c r="B3829">
        <v>-149.59723199999999</v>
      </c>
      <c r="C3829">
        <v>-17.023022000000001</v>
      </c>
      <c r="D3829">
        <v>155.4</v>
      </c>
      <c r="E3829">
        <v>30.1</v>
      </c>
      <c r="F3829">
        <v>9.5489599942064292</v>
      </c>
    </row>
    <row r="3830" spans="1:6" x14ac:dyDescent="0.2">
      <c r="A3830">
        <v>736787.6568</v>
      </c>
      <c r="B3830">
        <v>-149.59723299999999</v>
      </c>
      <c r="C3830">
        <v>-17.023009999999999</v>
      </c>
      <c r="D3830">
        <v>155.4</v>
      </c>
      <c r="E3830">
        <v>30.1</v>
      </c>
      <c r="F3830">
        <v>9.5489599942064292</v>
      </c>
    </row>
    <row r="3831" spans="1:6" x14ac:dyDescent="0.2">
      <c r="A3831">
        <v>736787.65689999994</v>
      </c>
      <c r="B3831">
        <v>-149.597238</v>
      </c>
      <c r="C3831">
        <v>-17.022997</v>
      </c>
      <c r="D3831">
        <v>155.4</v>
      </c>
      <c r="E3831">
        <v>30.1</v>
      </c>
      <c r="F3831">
        <v>9.5399999999999991</v>
      </c>
    </row>
    <row r="3832" spans="1:6" x14ac:dyDescent="0.2">
      <c r="A3832">
        <v>736787.65689999994</v>
      </c>
      <c r="B3832">
        <v>-149.59724199999999</v>
      </c>
      <c r="C3832">
        <v>-17.022983</v>
      </c>
      <c r="D3832">
        <v>155.4</v>
      </c>
      <c r="E3832">
        <v>30.1</v>
      </c>
      <c r="F3832">
        <v>9.5399999999999991</v>
      </c>
    </row>
    <row r="3833" spans="1:6" x14ac:dyDescent="0.2">
      <c r="A3833">
        <v>736787.65689999994</v>
      </c>
      <c r="B3833">
        <v>-149.597239</v>
      </c>
      <c r="C3833">
        <v>-17.022969</v>
      </c>
      <c r="D3833">
        <v>155.4</v>
      </c>
      <c r="E3833">
        <v>30.1</v>
      </c>
      <c r="F3833">
        <v>9.5399999999999991</v>
      </c>
    </row>
    <row r="3834" spans="1:6" x14ac:dyDescent="0.2">
      <c r="A3834">
        <v>736787.65689999994</v>
      </c>
      <c r="B3834">
        <v>-149.597239</v>
      </c>
      <c r="C3834">
        <v>-17.022943000000001</v>
      </c>
      <c r="D3834">
        <v>155.4</v>
      </c>
      <c r="E3834">
        <v>30.1</v>
      </c>
      <c r="F3834">
        <v>9.5399999999999991</v>
      </c>
    </row>
    <row r="3835" spans="1:6" x14ac:dyDescent="0.2">
      <c r="A3835">
        <v>736787.65689999994</v>
      </c>
      <c r="B3835">
        <v>-149.597238</v>
      </c>
      <c r="C3835">
        <v>-17.022926999999999</v>
      </c>
      <c r="D3835">
        <v>155.4</v>
      </c>
      <c r="E3835">
        <v>30.1</v>
      </c>
      <c r="F3835">
        <v>9.5399999999999991</v>
      </c>
    </row>
    <row r="3836" spans="1:6" x14ac:dyDescent="0.2">
      <c r="A3836">
        <v>736787.65689999994</v>
      </c>
      <c r="B3836">
        <v>-149.59723500000001</v>
      </c>
      <c r="C3836">
        <v>-17.022918000000001</v>
      </c>
      <c r="D3836">
        <v>155.4</v>
      </c>
      <c r="E3836">
        <v>30.1</v>
      </c>
      <c r="F3836">
        <v>9.5399999999999991</v>
      </c>
    </row>
    <row r="3837" spans="1:6" x14ac:dyDescent="0.2">
      <c r="A3837">
        <v>736787.65689999994</v>
      </c>
      <c r="B3837">
        <v>-149.59723399999999</v>
      </c>
      <c r="C3837">
        <v>-17.022907</v>
      </c>
      <c r="D3837">
        <v>155.4</v>
      </c>
      <c r="E3837">
        <v>30.1</v>
      </c>
      <c r="F3837">
        <v>9.5399999999999991</v>
      </c>
    </row>
    <row r="3838" spans="1:6" x14ac:dyDescent="0.2">
      <c r="A3838">
        <v>736787.65689999994</v>
      </c>
      <c r="B3838">
        <v>-149.59723700000001</v>
      </c>
      <c r="C3838">
        <v>-17.022894999999998</v>
      </c>
      <c r="D3838">
        <v>155.4</v>
      </c>
      <c r="E3838">
        <v>30.1</v>
      </c>
      <c r="F3838">
        <v>9.5399999999999991</v>
      </c>
    </row>
    <row r="3839" spans="1:6" x14ac:dyDescent="0.2">
      <c r="A3839">
        <v>736787.65700000001</v>
      </c>
      <c r="B3839">
        <v>-149.597241</v>
      </c>
      <c r="C3839">
        <v>-17.022884999999999</v>
      </c>
      <c r="D3839">
        <v>155.19999999999999</v>
      </c>
      <c r="E3839">
        <v>30.1</v>
      </c>
      <c r="F3839">
        <v>9.5356000064372992</v>
      </c>
    </row>
    <row r="3840" spans="1:6" x14ac:dyDescent="0.2">
      <c r="A3840">
        <v>736787.65700000001</v>
      </c>
      <c r="B3840">
        <v>-149.59724399999999</v>
      </c>
      <c r="C3840">
        <v>-17.022874000000002</v>
      </c>
      <c r="D3840">
        <v>155.19999999999999</v>
      </c>
      <c r="E3840">
        <v>30.1</v>
      </c>
      <c r="F3840">
        <v>9.5356000064372992</v>
      </c>
    </row>
    <row r="3841" spans="1:6" x14ac:dyDescent="0.2">
      <c r="A3841">
        <v>736787.65700000001</v>
      </c>
      <c r="B3841">
        <v>-149.59725299999999</v>
      </c>
      <c r="C3841">
        <v>-17.022857999999999</v>
      </c>
      <c r="D3841">
        <v>155.19999999999999</v>
      </c>
      <c r="E3841">
        <v>30.1</v>
      </c>
      <c r="F3841">
        <v>9.5356000064372992</v>
      </c>
    </row>
    <row r="3842" spans="1:6" x14ac:dyDescent="0.2">
      <c r="A3842">
        <v>736787.65700000001</v>
      </c>
      <c r="B3842">
        <v>-149.59725499999999</v>
      </c>
      <c r="C3842">
        <v>-17.022841</v>
      </c>
      <c r="D3842">
        <v>155.19999999999999</v>
      </c>
      <c r="E3842">
        <v>30.1</v>
      </c>
      <c r="F3842">
        <v>9.5356000064372992</v>
      </c>
    </row>
    <row r="3843" spans="1:6" x14ac:dyDescent="0.2">
      <c r="A3843">
        <v>736787.65700000001</v>
      </c>
      <c r="B3843">
        <v>-149.59725900000001</v>
      </c>
      <c r="C3843">
        <v>-17.022831</v>
      </c>
      <c r="D3843">
        <v>155.19999999999999</v>
      </c>
      <c r="E3843">
        <v>30.1</v>
      </c>
      <c r="F3843">
        <v>9.5356000064372992</v>
      </c>
    </row>
    <row r="3844" spans="1:6" x14ac:dyDescent="0.2">
      <c r="A3844">
        <v>736787.65700000001</v>
      </c>
      <c r="B3844">
        <v>-149.59726699999999</v>
      </c>
      <c r="C3844">
        <v>-17.022821</v>
      </c>
      <c r="D3844">
        <v>155.19999999999999</v>
      </c>
      <c r="E3844">
        <v>30.1</v>
      </c>
      <c r="F3844">
        <v>9.5356000064372992</v>
      </c>
    </row>
    <row r="3845" spans="1:6" x14ac:dyDescent="0.2">
      <c r="A3845">
        <v>736787.65709999995</v>
      </c>
      <c r="B3845">
        <v>-149.59726900000001</v>
      </c>
      <c r="C3845">
        <v>-17.022807</v>
      </c>
      <c r="D3845">
        <v>154.21519946570399</v>
      </c>
      <c r="E3845">
        <v>30.1</v>
      </c>
      <c r="F3845">
        <v>9.4757599732852196</v>
      </c>
    </row>
    <row r="3846" spans="1:6" x14ac:dyDescent="0.2">
      <c r="A3846">
        <v>736787.65709999995</v>
      </c>
      <c r="B3846">
        <v>-149.59727599999999</v>
      </c>
      <c r="C3846">
        <v>-17.022780999999998</v>
      </c>
      <c r="D3846">
        <v>154.21519946570399</v>
      </c>
      <c r="E3846">
        <v>30.1</v>
      </c>
      <c r="F3846">
        <v>9.4757599732852196</v>
      </c>
    </row>
    <row r="3847" spans="1:6" x14ac:dyDescent="0.2">
      <c r="A3847">
        <v>736787.65709999995</v>
      </c>
      <c r="B3847">
        <v>-149.59727699999999</v>
      </c>
      <c r="C3847">
        <v>-17.022766000000001</v>
      </c>
      <c r="D3847">
        <v>154.21519946570399</v>
      </c>
      <c r="E3847">
        <v>30.1</v>
      </c>
      <c r="F3847">
        <v>9.4757599732852196</v>
      </c>
    </row>
    <row r="3848" spans="1:6" x14ac:dyDescent="0.2">
      <c r="A3848">
        <v>736787.65709999995</v>
      </c>
      <c r="B3848">
        <v>-149.597274</v>
      </c>
      <c r="C3848">
        <v>-17.022753000000002</v>
      </c>
      <c r="D3848">
        <v>154.21519946570399</v>
      </c>
      <c r="E3848">
        <v>30.1</v>
      </c>
      <c r="F3848">
        <v>9.4757599732852196</v>
      </c>
    </row>
    <row r="3849" spans="1:6" x14ac:dyDescent="0.2">
      <c r="A3849">
        <v>736787.65709999995</v>
      </c>
      <c r="B3849">
        <v>-149.597273</v>
      </c>
      <c r="C3849">
        <v>-17.022741</v>
      </c>
      <c r="D3849">
        <v>154.21519946570399</v>
      </c>
      <c r="E3849">
        <v>30.1</v>
      </c>
      <c r="F3849">
        <v>9.4757599732852196</v>
      </c>
    </row>
    <row r="3850" spans="1:6" x14ac:dyDescent="0.2">
      <c r="A3850">
        <v>736787.65709999995</v>
      </c>
      <c r="B3850">
        <v>-149.597272</v>
      </c>
      <c r="C3850">
        <v>-17.022729000000002</v>
      </c>
      <c r="D3850">
        <v>154.21519946570399</v>
      </c>
      <c r="E3850">
        <v>30.1</v>
      </c>
      <c r="F3850">
        <v>9.4757599732852196</v>
      </c>
    </row>
    <row r="3851" spans="1:6" x14ac:dyDescent="0.2">
      <c r="A3851">
        <v>736787.65720000002</v>
      </c>
      <c r="B3851">
        <v>-149.597273</v>
      </c>
      <c r="C3851">
        <v>-17.022715999999999</v>
      </c>
      <c r="D3851">
        <v>154.9</v>
      </c>
      <c r="E3851">
        <v>30.1</v>
      </c>
      <c r="F3851">
        <v>9.52</v>
      </c>
    </row>
    <row r="3852" spans="1:6" x14ac:dyDescent="0.2">
      <c r="A3852">
        <v>736787.65720000002</v>
      </c>
      <c r="B3852">
        <v>-149.597275</v>
      </c>
      <c r="C3852">
        <v>-17.022705999999999</v>
      </c>
      <c r="D3852">
        <v>154.9</v>
      </c>
      <c r="E3852">
        <v>30.1</v>
      </c>
      <c r="F3852">
        <v>9.52</v>
      </c>
    </row>
    <row r="3853" spans="1:6" x14ac:dyDescent="0.2">
      <c r="A3853">
        <v>736787.65720000002</v>
      </c>
      <c r="B3853">
        <v>-149.597272</v>
      </c>
      <c r="C3853">
        <v>-17.022696</v>
      </c>
      <c r="D3853">
        <v>154.9</v>
      </c>
      <c r="E3853">
        <v>30.1</v>
      </c>
      <c r="F3853">
        <v>9.52</v>
      </c>
    </row>
    <row r="3854" spans="1:6" x14ac:dyDescent="0.2">
      <c r="A3854">
        <v>736787.65720000002</v>
      </c>
      <c r="B3854">
        <v>-149.59727699999999</v>
      </c>
      <c r="C3854">
        <v>-17.022682</v>
      </c>
      <c r="D3854">
        <v>154.9</v>
      </c>
      <c r="E3854">
        <v>30.1</v>
      </c>
      <c r="F3854">
        <v>9.52</v>
      </c>
    </row>
    <row r="3855" spans="1:6" x14ac:dyDescent="0.2">
      <c r="A3855">
        <v>736787.65720000002</v>
      </c>
      <c r="B3855">
        <v>-149.59728200000001</v>
      </c>
      <c r="C3855">
        <v>-17.022670999999999</v>
      </c>
      <c r="D3855">
        <v>154.9</v>
      </c>
      <c r="E3855">
        <v>30.1</v>
      </c>
      <c r="F3855">
        <v>9.52</v>
      </c>
    </row>
    <row r="3856" spans="1:6" x14ac:dyDescent="0.2">
      <c r="A3856">
        <v>736787.65720000002</v>
      </c>
      <c r="B3856">
        <v>-149.597286</v>
      </c>
      <c r="C3856">
        <v>-17.022663000000001</v>
      </c>
      <c r="D3856">
        <v>154.9</v>
      </c>
      <c r="E3856">
        <v>30.1</v>
      </c>
      <c r="F3856">
        <v>9.52</v>
      </c>
    </row>
    <row r="3857" spans="1:6" x14ac:dyDescent="0.2">
      <c r="A3857">
        <v>736787.65720000002</v>
      </c>
      <c r="B3857">
        <v>-149.597285</v>
      </c>
      <c r="C3857">
        <v>-17.022653999999999</v>
      </c>
      <c r="D3857">
        <v>154.9</v>
      </c>
      <c r="E3857">
        <v>30.1</v>
      </c>
      <c r="F3857">
        <v>9.52</v>
      </c>
    </row>
    <row r="3858" spans="1:6" x14ac:dyDescent="0.2">
      <c r="A3858">
        <v>736787.65720000002</v>
      </c>
      <c r="B3858">
        <v>-149.59729100000001</v>
      </c>
      <c r="C3858">
        <v>-17.022644</v>
      </c>
      <c r="D3858">
        <v>154.9</v>
      </c>
      <c r="E3858">
        <v>30.1</v>
      </c>
      <c r="F3858">
        <v>9.52</v>
      </c>
    </row>
    <row r="3859" spans="1:6" x14ac:dyDescent="0.2">
      <c r="A3859">
        <v>736787.65729999996</v>
      </c>
      <c r="B3859">
        <v>-149.59730099999999</v>
      </c>
      <c r="C3859">
        <v>-17.022632000000002</v>
      </c>
      <c r="D3859">
        <v>154.97439987286299</v>
      </c>
      <c r="E3859">
        <v>30.1</v>
      </c>
      <c r="F3859">
        <v>9.52</v>
      </c>
    </row>
    <row r="3860" spans="1:6" x14ac:dyDescent="0.2">
      <c r="A3860">
        <v>736787.65729999996</v>
      </c>
      <c r="B3860">
        <v>-149.597307</v>
      </c>
      <c r="C3860">
        <v>-17.02262</v>
      </c>
      <c r="D3860">
        <v>154.97439987286299</v>
      </c>
      <c r="E3860">
        <v>30.1</v>
      </c>
      <c r="F3860">
        <v>9.52</v>
      </c>
    </row>
    <row r="3861" spans="1:6" x14ac:dyDescent="0.2">
      <c r="A3861">
        <v>736787.65729999996</v>
      </c>
      <c r="B3861">
        <v>-149.59732</v>
      </c>
      <c r="C3861">
        <v>-17.022604000000001</v>
      </c>
      <c r="D3861">
        <v>154.97439987286299</v>
      </c>
      <c r="E3861">
        <v>30.1</v>
      </c>
      <c r="F3861">
        <v>9.52</v>
      </c>
    </row>
    <row r="3862" spans="1:6" x14ac:dyDescent="0.2">
      <c r="A3862">
        <v>736787.65729999996</v>
      </c>
      <c r="B3862">
        <v>-149.59732500000001</v>
      </c>
      <c r="C3862">
        <v>-17.022590000000001</v>
      </c>
      <c r="D3862">
        <v>154.97439987286299</v>
      </c>
      <c r="E3862">
        <v>30.1</v>
      </c>
      <c r="F3862">
        <v>9.52</v>
      </c>
    </row>
    <row r="3863" spans="1:6" x14ac:dyDescent="0.2">
      <c r="A3863">
        <v>736787.65729999996</v>
      </c>
      <c r="B3863">
        <v>-149.59733</v>
      </c>
      <c r="C3863">
        <v>-17.022577999999999</v>
      </c>
      <c r="D3863">
        <v>154.97439987286299</v>
      </c>
      <c r="E3863">
        <v>30.1</v>
      </c>
      <c r="F3863">
        <v>9.52</v>
      </c>
    </row>
    <row r="3864" spans="1:6" x14ac:dyDescent="0.2">
      <c r="A3864">
        <v>736787.65729999996</v>
      </c>
      <c r="B3864">
        <v>-149.59733900000001</v>
      </c>
      <c r="C3864">
        <v>-17.022569000000001</v>
      </c>
      <c r="D3864">
        <v>154.97439987286299</v>
      </c>
      <c r="E3864">
        <v>30.1</v>
      </c>
      <c r="F3864">
        <v>9.52</v>
      </c>
    </row>
    <row r="3865" spans="1:6" x14ac:dyDescent="0.2">
      <c r="A3865">
        <v>736787.65729999996</v>
      </c>
      <c r="B3865">
        <v>-149.597343</v>
      </c>
      <c r="C3865">
        <v>-17.022554</v>
      </c>
      <c r="D3865">
        <v>154.97439987286299</v>
      </c>
      <c r="E3865">
        <v>30.1</v>
      </c>
      <c r="F3865">
        <v>9.52</v>
      </c>
    </row>
    <row r="3866" spans="1:6" x14ac:dyDescent="0.2">
      <c r="A3866">
        <v>736787.65740000003</v>
      </c>
      <c r="B3866">
        <v>-149.59734499999999</v>
      </c>
      <c r="C3866">
        <v>-17.022542999999999</v>
      </c>
      <c r="D3866">
        <v>154.85279992275201</v>
      </c>
      <c r="E3866">
        <v>30.1</v>
      </c>
      <c r="F3866">
        <v>9.51</v>
      </c>
    </row>
    <row r="3867" spans="1:6" x14ac:dyDescent="0.2">
      <c r="A3867">
        <v>736787.65740000003</v>
      </c>
      <c r="B3867">
        <v>-149.59734900000001</v>
      </c>
      <c r="C3867">
        <v>-17.02253</v>
      </c>
      <c r="D3867">
        <v>154.85279992275201</v>
      </c>
      <c r="E3867">
        <v>30.1</v>
      </c>
      <c r="F3867">
        <v>9.51</v>
      </c>
    </row>
    <row r="3868" spans="1:6" x14ac:dyDescent="0.2">
      <c r="A3868">
        <v>736787.65740000003</v>
      </c>
      <c r="B3868">
        <v>-149.59735599999999</v>
      </c>
      <c r="C3868">
        <v>-17.022518999999999</v>
      </c>
      <c r="D3868">
        <v>154.85279992275201</v>
      </c>
      <c r="E3868">
        <v>30.1</v>
      </c>
      <c r="F3868">
        <v>9.51</v>
      </c>
    </row>
    <row r="3869" spans="1:6" x14ac:dyDescent="0.2">
      <c r="A3869">
        <v>736787.65740000003</v>
      </c>
      <c r="B3869">
        <v>-149.59735599999999</v>
      </c>
      <c r="C3869">
        <v>-17.022508999999999</v>
      </c>
      <c r="D3869">
        <v>154.85279992275201</v>
      </c>
      <c r="E3869">
        <v>30.1</v>
      </c>
      <c r="F3869">
        <v>9.51</v>
      </c>
    </row>
    <row r="3870" spans="1:6" x14ac:dyDescent="0.2">
      <c r="A3870">
        <v>736787.65740000003</v>
      </c>
      <c r="B3870">
        <v>-149.59736100000001</v>
      </c>
      <c r="C3870">
        <v>-17.022500000000001</v>
      </c>
      <c r="D3870">
        <v>154.85279992275201</v>
      </c>
      <c r="E3870">
        <v>30.1</v>
      </c>
      <c r="F3870">
        <v>9.51</v>
      </c>
    </row>
    <row r="3871" spans="1:6" x14ac:dyDescent="0.2">
      <c r="A3871">
        <v>736787.65740000003</v>
      </c>
      <c r="B3871">
        <v>-149.59736799999999</v>
      </c>
      <c r="C3871">
        <v>-17.022487999999999</v>
      </c>
      <c r="D3871">
        <v>154.85279992275201</v>
      </c>
      <c r="E3871">
        <v>30.1</v>
      </c>
      <c r="F3871">
        <v>9.51</v>
      </c>
    </row>
    <row r="3872" spans="1:6" x14ac:dyDescent="0.2">
      <c r="A3872">
        <v>736787.65740000003</v>
      </c>
      <c r="B3872">
        <v>-149.59737200000001</v>
      </c>
      <c r="C3872">
        <v>-17.022473999999999</v>
      </c>
      <c r="D3872">
        <v>154.85279992275201</v>
      </c>
      <c r="E3872">
        <v>30.1</v>
      </c>
      <c r="F3872">
        <v>9.51</v>
      </c>
    </row>
    <row r="3873" spans="1:6" x14ac:dyDescent="0.2">
      <c r="A3873">
        <v>736787.65749999997</v>
      </c>
      <c r="B3873">
        <v>-149.59737100000001</v>
      </c>
      <c r="C3873">
        <v>-17.022452999999999</v>
      </c>
      <c r="D3873">
        <v>155.14000024139901</v>
      </c>
      <c r="E3873">
        <v>30.1</v>
      </c>
      <c r="F3873">
        <v>9.5360000160932792</v>
      </c>
    </row>
    <row r="3874" spans="1:6" x14ac:dyDescent="0.2">
      <c r="A3874">
        <v>736787.65749999997</v>
      </c>
      <c r="B3874">
        <v>-149.59737100000001</v>
      </c>
      <c r="C3874">
        <v>-17.022438999999999</v>
      </c>
      <c r="D3874">
        <v>155.14000024139901</v>
      </c>
      <c r="E3874">
        <v>30.1</v>
      </c>
      <c r="F3874">
        <v>9.5360000160932792</v>
      </c>
    </row>
    <row r="3875" spans="1:6" x14ac:dyDescent="0.2">
      <c r="A3875">
        <v>736787.65749999997</v>
      </c>
      <c r="B3875">
        <v>-149.59737799999999</v>
      </c>
      <c r="C3875">
        <v>-17.022424999999998</v>
      </c>
      <c r="D3875">
        <v>155.14000024139901</v>
      </c>
      <c r="E3875">
        <v>30.1</v>
      </c>
      <c r="F3875">
        <v>9.5360000160932792</v>
      </c>
    </row>
    <row r="3876" spans="1:6" x14ac:dyDescent="0.2">
      <c r="A3876">
        <v>736787.65749999997</v>
      </c>
      <c r="B3876">
        <v>-149.59737699999999</v>
      </c>
      <c r="C3876">
        <v>-17.022414999999999</v>
      </c>
      <c r="D3876">
        <v>155.14000024139901</v>
      </c>
      <c r="E3876">
        <v>30.1</v>
      </c>
      <c r="F3876">
        <v>9.5360000160932792</v>
      </c>
    </row>
    <row r="3877" spans="1:6" x14ac:dyDescent="0.2">
      <c r="A3877">
        <v>736787.65749999997</v>
      </c>
      <c r="B3877">
        <v>-149.59738300000001</v>
      </c>
      <c r="C3877">
        <v>-17.022393999999998</v>
      </c>
      <c r="D3877">
        <v>155.14000024139901</v>
      </c>
      <c r="E3877">
        <v>30.1</v>
      </c>
      <c r="F3877">
        <v>9.5360000160932792</v>
      </c>
    </row>
    <row r="3878" spans="1:6" x14ac:dyDescent="0.2">
      <c r="A3878">
        <v>736787.65749999997</v>
      </c>
      <c r="B3878">
        <v>-149.59738200000001</v>
      </c>
      <c r="C3878">
        <v>-17.022376000000001</v>
      </c>
      <c r="D3878">
        <v>155.14000024139901</v>
      </c>
      <c r="E3878">
        <v>30.1</v>
      </c>
      <c r="F3878">
        <v>9.5360000160932792</v>
      </c>
    </row>
    <row r="3879" spans="1:6" x14ac:dyDescent="0.2">
      <c r="A3879">
        <v>736787.65749999997</v>
      </c>
      <c r="B3879">
        <v>-149.59737899999999</v>
      </c>
      <c r="C3879">
        <v>-17.022358000000001</v>
      </c>
      <c r="D3879">
        <v>155.14000024139901</v>
      </c>
      <c r="E3879">
        <v>30.1</v>
      </c>
      <c r="F3879">
        <v>9.5360000160932792</v>
      </c>
    </row>
    <row r="3880" spans="1:6" x14ac:dyDescent="0.2">
      <c r="A3880">
        <v>736787.65760000004</v>
      </c>
      <c r="B3880">
        <v>-149.59738300000001</v>
      </c>
      <c r="C3880">
        <v>-17.022342999999999</v>
      </c>
      <c r="D3880">
        <v>154.9</v>
      </c>
      <c r="E3880">
        <v>30.1</v>
      </c>
      <c r="F3880">
        <v>9.52</v>
      </c>
    </row>
    <row r="3881" spans="1:6" x14ac:dyDescent="0.2">
      <c r="A3881">
        <v>736787.65760000004</v>
      </c>
      <c r="B3881">
        <v>-149.59739099999999</v>
      </c>
      <c r="C3881">
        <v>-17.02233</v>
      </c>
      <c r="D3881">
        <v>154.9</v>
      </c>
      <c r="E3881">
        <v>30.1</v>
      </c>
      <c r="F3881">
        <v>9.52</v>
      </c>
    </row>
    <row r="3882" spans="1:6" x14ac:dyDescent="0.2">
      <c r="A3882">
        <v>736787.65760000004</v>
      </c>
      <c r="B3882">
        <v>-149.597396</v>
      </c>
      <c r="C3882">
        <v>-17.022314999999999</v>
      </c>
      <c r="D3882">
        <v>154.9</v>
      </c>
      <c r="E3882">
        <v>30.1</v>
      </c>
      <c r="F3882">
        <v>9.52</v>
      </c>
    </row>
    <row r="3883" spans="1:6" x14ac:dyDescent="0.2">
      <c r="A3883">
        <v>736787.65760000004</v>
      </c>
      <c r="B3883">
        <v>-149.597398</v>
      </c>
      <c r="C3883">
        <v>-17.022304999999999</v>
      </c>
      <c r="D3883">
        <v>154.9</v>
      </c>
      <c r="E3883">
        <v>30.1</v>
      </c>
      <c r="F3883">
        <v>9.52</v>
      </c>
    </row>
    <row r="3884" spans="1:6" x14ac:dyDescent="0.2">
      <c r="A3884">
        <v>736787.65760000004</v>
      </c>
      <c r="B3884">
        <v>-149.59739999999999</v>
      </c>
      <c r="C3884">
        <v>-17.022293999999999</v>
      </c>
      <c r="D3884">
        <v>154.9</v>
      </c>
      <c r="E3884">
        <v>30.1</v>
      </c>
      <c r="F3884">
        <v>9.52</v>
      </c>
    </row>
    <row r="3885" spans="1:6" x14ac:dyDescent="0.2">
      <c r="A3885">
        <v>736787.65760000004</v>
      </c>
      <c r="B3885">
        <v>-149.59740500000001</v>
      </c>
      <c r="C3885">
        <v>-17.022279999999999</v>
      </c>
      <c r="D3885">
        <v>154.9</v>
      </c>
      <c r="E3885">
        <v>30.1</v>
      </c>
      <c r="F3885">
        <v>9.52</v>
      </c>
    </row>
    <row r="3886" spans="1:6" x14ac:dyDescent="0.2">
      <c r="A3886">
        <v>736787.65760000004</v>
      </c>
      <c r="B3886">
        <v>-149.59740600000001</v>
      </c>
      <c r="C3886">
        <v>-17.022276000000002</v>
      </c>
      <c r="D3886">
        <v>154.9</v>
      </c>
      <c r="E3886">
        <v>30.1</v>
      </c>
      <c r="F3886">
        <v>9.52</v>
      </c>
    </row>
    <row r="3887" spans="1:6" x14ac:dyDescent="0.2">
      <c r="A3887">
        <v>736787.65760000004</v>
      </c>
      <c r="B3887">
        <v>-149.59740500000001</v>
      </c>
      <c r="C3887">
        <v>-17.022264</v>
      </c>
      <c r="D3887">
        <v>154.9</v>
      </c>
      <c r="E3887">
        <v>30.1</v>
      </c>
      <c r="F3887">
        <v>9.52</v>
      </c>
    </row>
    <row r="3888" spans="1:6" x14ac:dyDescent="0.2">
      <c r="A3888">
        <v>736787.65769999998</v>
      </c>
      <c r="B3888">
        <v>-149.597409</v>
      </c>
      <c r="C3888">
        <v>-17.02225</v>
      </c>
      <c r="D3888">
        <v>154.6</v>
      </c>
      <c r="E3888">
        <v>30.1</v>
      </c>
      <c r="F3888">
        <v>9.5</v>
      </c>
    </row>
    <row r="3889" spans="1:6" x14ac:dyDescent="0.2">
      <c r="A3889">
        <v>736787.65769999998</v>
      </c>
      <c r="B3889">
        <v>-149.59741700000001</v>
      </c>
      <c r="C3889">
        <v>-17.022237000000001</v>
      </c>
      <c r="D3889">
        <v>154.6</v>
      </c>
      <c r="E3889">
        <v>30.1</v>
      </c>
      <c r="F3889">
        <v>9.5</v>
      </c>
    </row>
    <row r="3890" spans="1:6" x14ac:dyDescent="0.2">
      <c r="A3890">
        <v>736787.65769999998</v>
      </c>
      <c r="B3890">
        <v>-149.597421</v>
      </c>
      <c r="C3890">
        <v>-17.022221999999999</v>
      </c>
      <c r="D3890">
        <v>154.6</v>
      </c>
      <c r="E3890">
        <v>30.1</v>
      </c>
      <c r="F3890">
        <v>9.5</v>
      </c>
    </row>
    <row r="3891" spans="1:6" x14ac:dyDescent="0.2">
      <c r="A3891">
        <v>736787.65769999998</v>
      </c>
      <c r="B3891">
        <v>-149.59742299999999</v>
      </c>
      <c r="C3891">
        <v>-17.022200999999999</v>
      </c>
      <c r="D3891">
        <v>154.6</v>
      </c>
      <c r="E3891">
        <v>30.1</v>
      </c>
      <c r="F3891">
        <v>9.5</v>
      </c>
    </row>
    <row r="3892" spans="1:6" x14ac:dyDescent="0.2">
      <c r="A3892">
        <v>736787.65769999998</v>
      </c>
      <c r="B3892">
        <v>-149.59742299999999</v>
      </c>
      <c r="C3892">
        <v>-17.022186000000001</v>
      </c>
      <c r="D3892">
        <v>154.6</v>
      </c>
      <c r="E3892">
        <v>30.1</v>
      </c>
      <c r="F3892">
        <v>9.5</v>
      </c>
    </row>
    <row r="3893" spans="1:6" x14ac:dyDescent="0.2">
      <c r="A3893">
        <v>736787.65769999998</v>
      </c>
      <c r="B3893">
        <v>-149.59742499999999</v>
      </c>
      <c r="C3893">
        <v>-17.022176000000002</v>
      </c>
      <c r="D3893">
        <v>154.6</v>
      </c>
      <c r="E3893">
        <v>30.1</v>
      </c>
      <c r="F3893">
        <v>9.5</v>
      </c>
    </row>
    <row r="3894" spans="1:6" x14ac:dyDescent="0.2">
      <c r="A3894">
        <v>736787.65769999998</v>
      </c>
      <c r="B3894">
        <v>-149.59741700000001</v>
      </c>
      <c r="C3894">
        <v>-17.022164</v>
      </c>
      <c r="D3894">
        <v>154.6</v>
      </c>
      <c r="E3894">
        <v>30.1</v>
      </c>
      <c r="F3894">
        <v>9.5</v>
      </c>
    </row>
    <row r="3895" spans="1:6" x14ac:dyDescent="0.2">
      <c r="A3895">
        <v>736787.65769999998</v>
      </c>
      <c r="B3895">
        <v>-149.59741500000001</v>
      </c>
      <c r="C3895">
        <v>-17.022151000000001</v>
      </c>
      <c r="D3895">
        <v>154.6</v>
      </c>
      <c r="E3895">
        <v>30.1</v>
      </c>
      <c r="F3895">
        <v>9.5</v>
      </c>
    </row>
    <row r="3896" spans="1:6" x14ac:dyDescent="0.2">
      <c r="A3896">
        <v>736787.65780000004</v>
      </c>
      <c r="B3896">
        <v>-149.59741299999999</v>
      </c>
      <c r="C3896">
        <v>-17.022133</v>
      </c>
      <c r="D3896">
        <v>154.561599909878</v>
      </c>
      <c r="E3896">
        <v>30.1</v>
      </c>
      <c r="F3896">
        <v>9.5</v>
      </c>
    </row>
    <row r="3897" spans="1:6" x14ac:dyDescent="0.2">
      <c r="A3897">
        <v>736787.65780000004</v>
      </c>
      <c r="B3897">
        <v>-149.597407</v>
      </c>
      <c r="C3897">
        <v>-17.022119</v>
      </c>
      <c r="D3897">
        <v>154.561599909878</v>
      </c>
      <c r="E3897">
        <v>30.1</v>
      </c>
      <c r="F3897">
        <v>9.5</v>
      </c>
    </row>
    <row r="3898" spans="1:6" x14ac:dyDescent="0.2">
      <c r="A3898">
        <v>736787.65780000004</v>
      </c>
      <c r="B3898">
        <v>-149.59740400000001</v>
      </c>
      <c r="C3898">
        <v>-17.022103000000001</v>
      </c>
      <c r="D3898">
        <v>154.561599909878</v>
      </c>
      <c r="E3898">
        <v>30.1</v>
      </c>
      <c r="F3898">
        <v>9.5</v>
      </c>
    </row>
    <row r="3899" spans="1:6" x14ac:dyDescent="0.2">
      <c r="A3899">
        <v>736787.65780000004</v>
      </c>
      <c r="B3899">
        <v>-149.59740500000001</v>
      </c>
      <c r="C3899">
        <v>-17.022093000000002</v>
      </c>
      <c r="D3899">
        <v>154.561599909878</v>
      </c>
      <c r="E3899">
        <v>30.1</v>
      </c>
      <c r="F3899">
        <v>9.5</v>
      </c>
    </row>
    <row r="3900" spans="1:6" x14ac:dyDescent="0.2">
      <c r="A3900">
        <v>736787.65780000004</v>
      </c>
      <c r="B3900">
        <v>-149.59740400000001</v>
      </c>
      <c r="C3900">
        <v>-17.022082999999999</v>
      </c>
      <c r="D3900">
        <v>154.561599909878</v>
      </c>
      <c r="E3900">
        <v>30.1</v>
      </c>
      <c r="F3900">
        <v>9.5</v>
      </c>
    </row>
    <row r="3901" spans="1:6" x14ac:dyDescent="0.2">
      <c r="A3901">
        <v>736787.65780000004</v>
      </c>
      <c r="B3901">
        <v>-149.59740099999999</v>
      </c>
      <c r="C3901">
        <v>-17.022072000000001</v>
      </c>
      <c r="D3901">
        <v>154.561599909878</v>
      </c>
      <c r="E3901">
        <v>30.1</v>
      </c>
      <c r="F3901">
        <v>9.5</v>
      </c>
    </row>
    <row r="3902" spans="1:6" x14ac:dyDescent="0.2">
      <c r="A3902">
        <v>736787.65780000004</v>
      </c>
      <c r="B3902">
        <v>-149.59740600000001</v>
      </c>
      <c r="C3902">
        <v>-17.022057</v>
      </c>
      <c r="D3902">
        <v>154.561599909878</v>
      </c>
      <c r="E3902">
        <v>30.1</v>
      </c>
      <c r="F3902">
        <v>9.5</v>
      </c>
    </row>
    <row r="3903" spans="1:6" x14ac:dyDescent="0.2">
      <c r="A3903">
        <v>736787.65789999999</v>
      </c>
      <c r="B3903">
        <v>-149.59741</v>
      </c>
      <c r="C3903">
        <v>-17.022048000000002</v>
      </c>
      <c r="D3903">
        <v>154.80000000000001</v>
      </c>
      <c r="E3903">
        <v>30.1</v>
      </c>
      <c r="F3903">
        <v>9.5111199914705598</v>
      </c>
    </row>
    <row r="3904" spans="1:6" x14ac:dyDescent="0.2">
      <c r="A3904">
        <v>736787.65789999999</v>
      </c>
      <c r="B3904">
        <v>-149.59741500000001</v>
      </c>
      <c r="C3904">
        <v>-17.022034999999999</v>
      </c>
      <c r="D3904">
        <v>154.80000000000001</v>
      </c>
      <c r="E3904">
        <v>30.1</v>
      </c>
      <c r="F3904">
        <v>9.5111199914705598</v>
      </c>
    </row>
    <row r="3905" spans="1:6" x14ac:dyDescent="0.2">
      <c r="A3905">
        <v>736787.65789999999</v>
      </c>
      <c r="B3905">
        <v>-149.597432</v>
      </c>
      <c r="C3905">
        <v>-17.022027000000001</v>
      </c>
      <c r="D3905">
        <v>154.80000000000001</v>
      </c>
      <c r="E3905">
        <v>30.1</v>
      </c>
      <c r="F3905">
        <v>9.5111199914705598</v>
      </c>
    </row>
    <row r="3906" spans="1:6" x14ac:dyDescent="0.2">
      <c r="A3906">
        <v>736787.65789999999</v>
      </c>
      <c r="B3906">
        <v>-149.59744599999999</v>
      </c>
      <c r="C3906">
        <v>-17.022017999999999</v>
      </c>
      <c r="D3906">
        <v>154.80000000000001</v>
      </c>
      <c r="E3906">
        <v>30.1</v>
      </c>
      <c r="F3906">
        <v>9.5111199914705598</v>
      </c>
    </row>
    <row r="3907" spans="1:6" x14ac:dyDescent="0.2">
      <c r="A3907">
        <v>736787.65800000005</v>
      </c>
      <c r="B3907">
        <v>-149.597455</v>
      </c>
      <c r="C3907">
        <v>-17.022008</v>
      </c>
      <c r="D3907">
        <v>154.715999903441</v>
      </c>
      <c r="E3907">
        <v>30.1</v>
      </c>
      <c r="F3907">
        <v>9.5115999903440507</v>
      </c>
    </row>
    <row r="3908" spans="1:6" x14ac:dyDescent="0.2">
      <c r="A3908">
        <v>736787.65800000005</v>
      </c>
      <c r="B3908">
        <v>-149.59746200000001</v>
      </c>
      <c r="C3908">
        <v>-17.021998</v>
      </c>
      <c r="D3908">
        <v>154.715999903441</v>
      </c>
      <c r="E3908">
        <v>30.1</v>
      </c>
      <c r="F3908">
        <v>9.5115999903440507</v>
      </c>
    </row>
    <row r="3909" spans="1:6" x14ac:dyDescent="0.2">
      <c r="A3909">
        <v>736787.65800000005</v>
      </c>
      <c r="B3909">
        <v>-149.59746799999999</v>
      </c>
      <c r="C3909">
        <v>-17.021989999999999</v>
      </c>
      <c r="D3909">
        <v>154.715999903441</v>
      </c>
      <c r="E3909">
        <v>30.1</v>
      </c>
      <c r="F3909">
        <v>9.5115999903440507</v>
      </c>
    </row>
    <row r="3910" spans="1:6" x14ac:dyDescent="0.2">
      <c r="A3910">
        <v>736787.65800000005</v>
      </c>
      <c r="B3910">
        <v>-149.59747200000001</v>
      </c>
      <c r="C3910">
        <v>-17.021979999999999</v>
      </c>
      <c r="D3910">
        <v>154.715999903441</v>
      </c>
      <c r="E3910">
        <v>30.1</v>
      </c>
      <c r="F3910">
        <v>9.5115999903440507</v>
      </c>
    </row>
    <row r="3911" spans="1:6" x14ac:dyDescent="0.2">
      <c r="A3911">
        <v>736787.65800000005</v>
      </c>
      <c r="B3911">
        <v>-149.59748200000001</v>
      </c>
      <c r="C3911">
        <v>-17.021965000000002</v>
      </c>
      <c r="D3911">
        <v>154.715999903441</v>
      </c>
      <c r="E3911">
        <v>30.1</v>
      </c>
      <c r="F3911">
        <v>9.5115999903440507</v>
      </c>
    </row>
    <row r="3912" spans="1:6" x14ac:dyDescent="0.2">
      <c r="A3912">
        <v>736787.65800000005</v>
      </c>
      <c r="B3912">
        <v>-149.59748500000001</v>
      </c>
      <c r="C3912">
        <v>-17.021947999999998</v>
      </c>
      <c r="D3912">
        <v>154.715999903441</v>
      </c>
      <c r="E3912">
        <v>30.1</v>
      </c>
      <c r="F3912">
        <v>9.5115999903440507</v>
      </c>
    </row>
    <row r="3913" spans="1:6" x14ac:dyDescent="0.2">
      <c r="A3913">
        <v>736787.6581</v>
      </c>
      <c r="B3913">
        <v>-149.59748300000001</v>
      </c>
      <c r="C3913">
        <v>-17.021927000000002</v>
      </c>
      <c r="D3913">
        <v>152.44559989700301</v>
      </c>
      <c r="E3913">
        <v>30</v>
      </c>
      <c r="F3913">
        <v>9.3815999935626895</v>
      </c>
    </row>
    <row r="3914" spans="1:6" x14ac:dyDescent="0.2">
      <c r="A3914">
        <v>736787.6581</v>
      </c>
      <c r="B3914">
        <v>-149.59747999999999</v>
      </c>
      <c r="C3914">
        <v>-17.021912</v>
      </c>
      <c r="D3914">
        <v>152.44559989700301</v>
      </c>
      <c r="E3914">
        <v>30</v>
      </c>
      <c r="F3914">
        <v>9.3815999935626895</v>
      </c>
    </row>
    <row r="3915" spans="1:6" x14ac:dyDescent="0.2">
      <c r="A3915">
        <v>736787.6581</v>
      </c>
      <c r="B3915">
        <v>-149.597478</v>
      </c>
      <c r="C3915">
        <v>-17.021899000000001</v>
      </c>
      <c r="D3915">
        <v>152.44559989700301</v>
      </c>
      <c r="E3915">
        <v>30</v>
      </c>
      <c r="F3915">
        <v>9.3815999935626895</v>
      </c>
    </row>
    <row r="3916" spans="1:6" x14ac:dyDescent="0.2">
      <c r="A3916">
        <v>736787.6581</v>
      </c>
      <c r="B3916">
        <v>-149.59746899999999</v>
      </c>
      <c r="C3916">
        <v>-17.021887</v>
      </c>
      <c r="D3916">
        <v>152.44559989700301</v>
      </c>
      <c r="E3916">
        <v>30</v>
      </c>
      <c r="F3916">
        <v>9.3815999935626895</v>
      </c>
    </row>
    <row r="3917" spans="1:6" x14ac:dyDescent="0.2">
      <c r="A3917">
        <v>736787.6581</v>
      </c>
      <c r="B3917">
        <v>-149.597465</v>
      </c>
      <c r="C3917">
        <v>-17.021874</v>
      </c>
      <c r="D3917">
        <v>152.44559989700301</v>
      </c>
      <c r="E3917">
        <v>30</v>
      </c>
      <c r="F3917">
        <v>9.3815999935626895</v>
      </c>
    </row>
    <row r="3918" spans="1:6" x14ac:dyDescent="0.2">
      <c r="A3918">
        <v>736787.6581</v>
      </c>
      <c r="B3918">
        <v>-149.59745799999999</v>
      </c>
      <c r="C3918">
        <v>-17.021863</v>
      </c>
      <c r="D3918">
        <v>152.44559989700301</v>
      </c>
      <c r="E3918">
        <v>30</v>
      </c>
      <c r="F3918">
        <v>9.3815999935626895</v>
      </c>
    </row>
    <row r="3919" spans="1:6" x14ac:dyDescent="0.2">
      <c r="A3919">
        <v>736787.6581</v>
      </c>
      <c r="B3919">
        <v>-149.59744900000001</v>
      </c>
      <c r="C3919">
        <v>-17.021849</v>
      </c>
      <c r="D3919">
        <v>152.44559989700301</v>
      </c>
      <c r="E3919">
        <v>30</v>
      </c>
      <c r="F3919">
        <v>9.3815999935626895</v>
      </c>
    </row>
    <row r="3920" spans="1:6" x14ac:dyDescent="0.2">
      <c r="A3920">
        <v>736787.6581</v>
      </c>
      <c r="B3920">
        <v>-149.597443</v>
      </c>
      <c r="C3920">
        <v>-17.021841999999999</v>
      </c>
      <c r="D3920">
        <v>152.44559989700301</v>
      </c>
      <c r="E3920">
        <v>30</v>
      </c>
      <c r="F3920">
        <v>9.3815999935626895</v>
      </c>
    </row>
    <row r="3921" spans="1:6" x14ac:dyDescent="0.2">
      <c r="A3921">
        <v>736787.6581</v>
      </c>
      <c r="B3921">
        <v>-149.59742900000001</v>
      </c>
      <c r="C3921">
        <v>-17.021836</v>
      </c>
      <c r="D3921">
        <v>152.44559989700301</v>
      </c>
      <c r="E3921">
        <v>30</v>
      </c>
      <c r="F3921">
        <v>9.3815999935626895</v>
      </c>
    </row>
    <row r="3922" spans="1:6" x14ac:dyDescent="0.2">
      <c r="A3922">
        <v>736787.65819999995</v>
      </c>
      <c r="B3922">
        <v>-149.59742199999999</v>
      </c>
      <c r="C3922">
        <v>-17.021823999999999</v>
      </c>
      <c r="D3922">
        <v>152.01120029450601</v>
      </c>
      <c r="E3922">
        <v>30</v>
      </c>
      <c r="F3922">
        <v>9.3540800196337592</v>
      </c>
    </row>
    <row r="3923" spans="1:6" x14ac:dyDescent="0.2">
      <c r="A3923">
        <v>736787.65819999995</v>
      </c>
      <c r="B3923">
        <v>-149.59741399999999</v>
      </c>
      <c r="C3923">
        <v>-17.021812000000001</v>
      </c>
      <c r="D3923">
        <v>152.01120029450601</v>
      </c>
      <c r="E3923">
        <v>30</v>
      </c>
      <c r="F3923">
        <v>9.3540800196337592</v>
      </c>
    </row>
    <row r="3924" spans="1:6" x14ac:dyDescent="0.2">
      <c r="A3924">
        <v>736787.65819999995</v>
      </c>
      <c r="B3924">
        <v>-149.597409</v>
      </c>
      <c r="C3924">
        <v>-17.021801</v>
      </c>
      <c r="D3924">
        <v>152.01120029450601</v>
      </c>
      <c r="E3924">
        <v>30</v>
      </c>
      <c r="F3924">
        <v>9.3540800196337592</v>
      </c>
    </row>
    <row r="3925" spans="1:6" x14ac:dyDescent="0.2">
      <c r="A3925">
        <v>736787.65819999995</v>
      </c>
      <c r="B3925">
        <v>-149.59740300000001</v>
      </c>
      <c r="C3925">
        <v>-17.021781000000001</v>
      </c>
      <c r="D3925">
        <v>152.01120029450601</v>
      </c>
      <c r="E3925">
        <v>30</v>
      </c>
      <c r="F3925">
        <v>9.3540800196337592</v>
      </c>
    </row>
    <row r="3926" spans="1:6" x14ac:dyDescent="0.2">
      <c r="A3926">
        <v>736787.65819999995</v>
      </c>
      <c r="B3926">
        <v>-149.59740400000001</v>
      </c>
      <c r="C3926">
        <v>-17.021768999999999</v>
      </c>
      <c r="D3926">
        <v>152.01120029450601</v>
      </c>
      <c r="E3926">
        <v>30</v>
      </c>
      <c r="F3926">
        <v>9.3540800196337592</v>
      </c>
    </row>
    <row r="3927" spans="1:6" x14ac:dyDescent="0.2">
      <c r="A3927">
        <v>736787.65819999995</v>
      </c>
      <c r="B3927">
        <v>-149.597409</v>
      </c>
      <c r="C3927">
        <v>-17.021758999999999</v>
      </c>
      <c r="D3927">
        <v>152.01120029450601</v>
      </c>
      <c r="E3927">
        <v>30</v>
      </c>
      <c r="F3927">
        <v>9.3540800196337592</v>
      </c>
    </row>
    <row r="3928" spans="1:6" x14ac:dyDescent="0.2">
      <c r="A3928">
        <v>736787.65819999995</v>
      </c>
      <c r="B3928">
        <v>-149.59741299999999</v>
      </c>
      <c r="C3928">
        <v>-17.021746</v>
      </c>
      <c r="D3928">
        <v>152.01120029450601</v>
      </c>
      <c r="E3928">
        <v>30</v>
      </c>
      <c r="F3928">
        <v>9.3540800196337592</v>
      </c>
    </row>
    <row r="3929" spans="1:6" x14ac:dyDescent="0.2">
      <c r="A3929">
        <v>736787.65830000001</v>
      </c>
      <c r="B3929">
        <v>-149.59742</v>
      </c>
      <c r="C3929">
        <v>-17.021726000000001</v>
      </c>
      <c r="D3929">
        <v>150.80000000000001</v>
      </c>
      <c r="E3929">
        <v>30.1</v>
      </c>
      <c r="F3929">
        <v>9.27</v>
      </c>
    </row>
    <row r="3930" spans="1:6" x14ac:dyDescent="0.2">
      <c r="A3930">
        <v>736787.65830000001</v>
      </c>
      <c r="B3930">
        <v>-149.59742900000001</v>
      </c>
      <c r="C3930">
        <v>-17.021716000000001</v>
      </c>
      <c r="D3930">
        <v>150.80000000000001</v>
      </c>
      <c r="E3930">
        <v>30.1</v>
      </c>
      <c r="F3930">
        <v>9.27</v>
      </c>
    </row>
    <row r="3931" spans="1:6" x14ac:dyDescent="0.2">
      <c r="A3931">
        <v>736787.65830000001</v>
      </c>
      <c r="B3931">
        <v>-149.597433</v>
      </c>
      <c r="C3931">
        <v>-17.021704</v>
      </c>
      <c r="D3931">
        <v>150.80000000000001</v>
      </c>
      <c r="E3931">
        <v>30.1</v>
      </c>
      <c r="F3931">
        <v>9.27</v>
      </c>
    </row>
    <row r="3932" spans="1:6" x14ac:dyDescent="0.2">
      <c r="A3932">
        <v>736787.65830000001</v>
      </c>
      <c r="B3932">
        <v>-149.59743700000001</v>
      </c>
      <c r="C3932">
        <v>-17.021681999999998</v>
      </c>
      <c r="D3932">
        <v>150.80000000000001</v>
      </c>
      <c r="E3932">
        <v>30.1</v>
      </c>
      <c r="F3932">
        <v>9.27</v>
      </c>
    </row>
    <row r="3933" spans="1:6" x14ac:dyDescent="0.2">
      <c r="A3933">
        <v>736787.65830000001</v>
      </c>
      <c r="B3933">
        <v>-149.59743399999999</v>
      </c>
      <c r="C3933">
        <v>-17.02167</v>
      </c>
      <c r="D3933">
        <v>150.80000000000001</v>
      </c>
      <c r="E3933">
        <v>30.1</v>
      </c>
      <c r="F3933">
        <v>9.27</v>
      </c>
    </row>
    <row r="3934" spans="1:6" x14ac:dyDescent="0.2">
      <c r="A3934">
        <v>736787.65830000001</v>
      </c>
      <c r="B3934">
        <v>-149.59743399999999</v>
      </c>
      <c r="C3934">
        <v>-17.021656</v>
      </c>
      <c r="D3934">
        <v>150.80000000000001</v>
      </c>
      <c r="E3934">
        <v>30.1</v>
      </c>
      <c r="F3934">
        <v>9.27</v>
      </c>
    </row>
    <row r="3935" spans="1:6" x14ac:dyDescent="0.2">
      <c r="A3935">
        <v>736787.65830000001</v>
      </c>
      <c r="B3935">
        <v>-149.59743399999999</v>
      </c>
      <c r="C3935">
        <v>-17.021636000000001</v>
      </c>
      <c r="D3935">
        <v>150.80000000000001</v>
      </c>
      <c r="E3935">
        <v>30.1</v>
      </c>
      <c r="F3935">
        <v>9.27</v>
      </c>
    </row>
    <row r="3936" spans="1:6" x14ac:dyDescent="0.2">
      <c r="A3936">
        <v>736787.65839999996</v>
      </c>
      <c r="B3936">
        <v>-149.59742900000001</v>
      </c>
      <c r="C3936">
        <v>-17.021618</v>
      </c>
      <c r="D3936">
        <v>151.175999541343</v>
      </c>
      <c r="E3936">
        <v>30.1</v>
      </c>
      <c r="F3936">
        <v>9.3000799633074003</v>
      </c>
    </row>
    <row r="3937" spans="1:6" x14ac:dyDescent="0.2">
      <c r="A3937">
        <v>736787.65839999996</v>
      </c>
      <c r="B3937">
        <v>-149.59742499999999</v>
      </c>
      <c r="C3937">
        <v>-17.021609999999999</v>
      </c>
      <c r="D3937">
        <v>151.175999541343</v>
      </c>
      <c r="E3937">
        <v>30.1</v>
      </c>
      <c r="F3937">
        <v>9.3000799633074003</v>
      </c>
    </row>
    <row r="3938" spans="1:6" x14ac:dyDescent="0.2">
      <c r="A3938">
        <v>736787.65839999996</v>
      </c>
      <c r="B3938">
        <v>-149.59741700000001</v>
      </c>
      <c r="C3938">
        <v>-17.021598000000001</v>
      </c>
      <c r="D3938">
        <v>151.175999541343</v>
      </c>
      <c r="E3938">
        <v>30.1</v>
      </c>
      <c r="F3938">
        <v>9.3000799633074003</v>
      </c>
    </row>
    <row r="3939" spans="1:6" x14ac:dyDescent="0.2">
      <c r="A3939">
        <v>736787.65839999996</v>
      </c>
      <c r="B3939">
        <v>-149.59741399999999</v>
      </c>
      <c r="C3939">
        <v>-17.021584000000001</v>
      </c>
      <c r="D3939">
        <v>151.175999541343</v>
      </c>
      <c r="E3939">
        <v>30.1</v>
      </c>
      <c r="F3939">
        <v>9.3000799633074003</v>
      </c>
    </row>
    <row r="3940" spans="1:6" x14ac:dyDescent="0.2">
      <c r="A3940">
        <v>736787.65839999996</v>
      </c>
      <c r="B3940">
        <v>-149.59741099999999</v>
      </c>
      <c r="C3940">
        <v>-17.021570000000001</v>
      </c>
      <c r="D3940">
        <v>151.175999541343</v>
      </c>
      <c r="E3940">
        <v>30.1</v>
      </c>
      <c r="F3940">
        <v>9.3000799633074003</v>
      </c>
    </row>
    <row r="3941" spans="1:6" x14ac:dyDescent="0.2">
      <c r="A3941">
        <v>736787.65839999996</v>
      </c>
      <c r="B3941">
        <v>-149.59740400000001</v>
      </c>
      <c r="C3941">
        <v>-17.021556</v>
      </c>
      <c r="D3941">
        <v>151.175999541343</v>
      </c>
      <c r="E3941">
        <v>30.1</v>
      </c>
      <c r="F3941">
        <v>9.3000799633074003</v>
      </c>
    </row>
    <row r="3942" spans="1:6" x14ac:dyDescent="0.2">
      <c r="A3942">
        <v>736787.65839999996</v>
      </c>
      <c r="B3942">
        <v>-149.59740099999999</v>
      </c>
      <c r="C3942">
        <v>-17.021546000000001</v>
      </c>
      <c r="D3942">
        <v>151.175999541343</v>
      </c>
      <c r="E3942">
        <v>30.1</v>
      </c>
      <c r="F3942">
        <v>9.3000799633074003</v>
      </c>
    </row>
    <row r="3943" spans="1:6" x14ac:dyDescent="0.2">
      <c r="A3943">
        <v>736787.65839999996</v>
      </c>
      <c r="B3943">
        <v>-149.59739400000001</v>
      </c>
      <c r="C3943">
        <v>-17.021536000000001</v>
      </c>
      <c r="D3943">
        <v>151.175999541343</v>
      </c>
      <c r="E3943">
        <v>30.1</v>
      </c>
      <c r="F3943">
        <v>9.3000799633074003</v>
      </c>
    </row>
    <row r="3944" spans="1:6" x14ac:dyDescent="0.2">
      <c r="A3944">
        <v>736787.65839999996</v>
      </c>
      <c r="B3944">
        <v>-149.59738899999999</v>
      </c>
      <c r="C3944">
        <v>-17.021522000000001</v>
      </c>
      <c r="D3944">
        <v>151.175999541343</v>
      </c>
      <c r="E3944">
        <v>30.1</v>
      </c>
      <c r="F3944">
        <v>9.3000799633074003</v>
      </c>
    </row>
    <row r="3945" spans="1:6" x14ac:dyDescent="0.2">
      <c r="A3945">
        <v>736787.65850000002</v>
      </c>
      <c r="B3945">
        <v>-149.597385</v>
      </c>
      <c r="C3945">
        <v>-17.021512000000001</v>
      </c>
      <c r="D3945">
        <v>151.1</v>
      </c>
      <c r="E3945">
        <v>30.051999991953402</v>
      </c>
      <c r="F3945">
        <v>9.2948000008046598</v>
      </c>
    </row>
    <row r="3946" spans="1:6" x14ac:dyDescent="0.2">
      <c r="A3946">
        <v>736787.65850000002</v>
      </c>
      <c r="B3946">
        <v>-149.597376</v>
      </c>
      <c r="C3946">
        <v>-17.0215</v>
      </c>
      <c r="D3946">
        <v>151.1</v>
      </c>
      <c r="E3946">
        <v>30.051999991953402</v>
      </c>
      <c r="F3946">
        <v>9.2948000008046598</v>
      </c>
    </row>
    <row r="3947" spans="1:6" x14ac:dyDescent="0.2">
      <c r="A3947">
        <v>736787.65850000002</v>
      </c>
      <c r="B3947">
        <v>-149.59737200000001</v>
      </c>
      <c r="C3947">
        <v>-17.02149</v>
      </c>
      <c r="D3947">
        <v>151.1</v>
      </c>
      <c r="E3947">
        <v>30.051999991953402</v>
      </c>
      <c r="F3947">
        <v>9.2948000008046598</v>
      </c>
    </row>
    <row r="3948" spans="1:6" x14ac:dyDescent="0.2">
      <c r="A3948">
        <v>736787.65850000002</v>
      </c>
      <c r="B3948">
        <v>-149.59737100000001</v>
      </c>
      <c r="C3948">
        <v>-17.021476</v>
      </c>
      <c r="D3948">
        <v>151.1</v>
      </c>
      <c r="E3948">
        <v>30.051999991953402</v>
      </c>
      <c r="F3948">
        <v>9.2948000008046598</v>
      </c>
    </row>
    <row r="3949" spans="1:6" x14ac:dyDescent="0.2">
      <c r="A3949">
        <v>736787.65850000002</v>
      </c>
      <c r="B3949">
        <v>-149.59736899999999</v>
      </c>
      <c r="C3949">
        <v>-17.021457999999999</v>
      </c>
      <c r="D3949">
        <v>151.1</v>
      </c>
      <c r="E3949">
        <v>30.051999991953402</v>
      </c>
      <c r="F3949">
        <v>9.2948000008046598</v>
      </c>
    </row>
    <row r="3950" spans="1:6" x14ac:dyDescent="0.2">
      <c r="A3950">
        <v>736787.65850000002</v>
      </c>
      <c r="B3950">
        <v>-149.59736899999999</v>
      </c>
      <c r="C3950">
        <v>-17.021447999999999</v>
      </c>
      <c r="D3950">
        <v>151.1</v>
      </c>
      <c r="E3950">
        <v>30.051999991953402</v>
      </c>
      <c r="F3950">
        <v>9.2948000008046598</v>
      </c>
    </row>
    <row r="3951" spans="1:6" x14ac:dyDescent="0.2">
      <c r="A3951">
        <v>736787.65850000002</v>
      </c>
      <c r="B3951">
        <v>-149.597365</v>
      </c>
      <c r="C3951">
        <v>-17.021433999999999</v>
      </c>
      <c r="D3951">
        <v>151.1</v>
      </c>
      <c r="E3951">
        <v>30.051999991953402</v>
      </c>
      <c r="F3951">
        <v>9.2948000008046598</v>
      </c>
    </row>
    <row r="3952" spans="1:6" x14ac:dyDescent="0.2">
      <c r="A3952">
        <v>736787.65850000002</v>
      </c>
      <c r="B3952">
        <v>-149.59736599999999</v>
      </c>
      <c r="C3952">
        <v>-17.021419999999999</v>
      </c>
      <c r="D3952">
        <v>151.1</v>
      </c>
      <c r="E3952">
        <v>30.051999991953402</v>
      </c>
      <c r="F3952">
        <v>9.2948000008046598</v>
      </c>
    </row>
    <row r="3953" spans="1:6" x14ac:dyDescent="0.2">
      <c r="A3953">
        <v>736787.65859999997</v>
      </c>
      <c r="B3953">
        <v>-149.59737100000001</v>
      </c>
      <c r="C3953">
        <v>-17.021404</v>
      </c>
      <c r="D3953">
        <v>151.27920008529401</v>
      </c>
      <c r="E3953">
        <v>30</v>
      </c>
      <c r="F3953">
        <v>9.30792000852942</v>
      </c>
    </row>
    <row r="3954" spans="1:6" x14ac:dyDescent="0.2">
      <c r="A3954">
        <v>736787.65859999997</v>
      </c>
      <c r="B3954">
        <v>-149.59737699999999</v>
      </c>
      <c r="C3954">
        <v>-17.02139</v>
      </c>
      <c r="D3954">
        <v>151.27920008529401</v>
      </c>
      <c r="E3954">
        <v>30</v>
      </c>
      <c r="F3954">
        <v>9.30792000852942</v>
      </c>
    </row>
    <row r="3955" spans="1:6" x14ac:dyDescent="0.2">
      <c r="A3955">
        <v>736787.65859999997</v>
      </c>
      <c r="B3955">
        <v>-149.59737899999999</v>
      </c>
      <c r="C3955">
        <v>-17.021376</v>
      </c>
      <c r="D3955">
        <v>151.27920008529401</v>
      </c>
      <c r="E3955">
        <v>30</v>
      </c>
      <c r="F3955">
        <v>9.30792000852942</v>
      </c>
    </row>
    <row r="3956" spans="1:6" x14ac:dyDescent="0.2">
      <c r="A3956">
        <v>736787.65859999997</v>
      </c>
      <c r="B3956">
        <v>-149.59738300000001</v>
      </c>
      <c r="C3956">
        <v>-17.021366</v>
      </c>
      <c r="D3956">
        <v>151.27920008529401</v>
      </c>
      <c r="E3956">
        <v>30</v>
      </c>
      <c r="F3956">
        <v>9.30792000852942</v>
      </c>
    </row>
    <row r="3957" spans="1:6" x14ac:dyDescent="0.2">
      <c r="A3957">
        <v>736787.65859999997</v>
      </c>
      <c r="B3957">
        <v>-149.597386</v>
      </c>
      <c r="C3957">
        <v>-17.021356000000001</v>
      </c>
      <c r="D3957">
        <v>151.27920008529401</v>
      </c>
      <c r="E3957">
        <v>30</v>
      </c>
      <c r="F3957">
        <v>9.30792000852942</v>
      </c>
    </row>
    <row r="3958" spans="1:6" x14ac:dyDescent="0.2">
      <c r="A3958">
        <v>736787.65859999997</v>
      </c>
      <c r="B3958">
        <v>-149.597387</v>
      </c>
      <c r="C3958">
        <v>-17.021342000000001</v>
      </c>
      <c r="D3958">
        <v>151.27920008529401</v>
      </c>
      <c r="E3958">
        <v>30</v>
      </c>
      <c r="F3958">
        <v>9.30792000852942</v>
      </c>
    </row>
    <row r="3959" spans="1:6" x14ac:dyDescent="0.2">
      <c r="A3959">
        <v>736787.65859999997</v>
      </c>
      <c r="B3959">
        <v>-149.59738400000001</v>
      </c>
      <c r="C3959">
        <v>-17.021328</v>
      </c>
      <c r="D3959">
        <v>151.27920008529401</v>
      </c>
      <c r="E3959">
        <v>30</v>
      </c>
      <c r="F3959">
        <v>9.30792000852942</v>
      </c>
    </row>
    <row r="3960" spans="1:6" x14ac:dyDescent="0.2">
      <c r="A3960">
        <v>736787.65870000003</v>
      </c>
      <c r="B3960">
        <v>-149.59737799999999</v>
      </c>
      <c r="C3960">
        <v>-17.021319999999999</v>
      </c>
      <c r="D3960">
        <v>151.19999999999999</v>
      </c>
      <c r="E3960">
        <v>30</v>
      </c>
      <c r="F3960">
        <v>9.3000000000000007</v>
      </c>
    </row>
    <row r="3961" spans="1:6" x14ac:dyDescent="0.2">
      <c r="A3961">
        <v>736787.65870000003</v>
      </c>
      <c r="B3961">
        <v>-149.597363</v>
      </c>
      <c r="C3961">
        <v>-17.021319999999999</v>
      </c>
      <c r="D3961">
        <v>151.19999999999999</v>
      </c>
      <c r="E3961">
        <v>30</v>
      </c>
      <c r="F3961">
        <v>9.3000000000000007</v>
      </c>
    </row>
    <row r="3962" spans="1:6" x14ac:dyDescent="0.2">
      <c r="A3962">
        <v>736787.65870000003</v>
      </c>
      <c r="B3962">
        <v>-149.59736000000001</v>
      </c>
      <c r="C3962">
        <v>-17.02131</v>
      </c>
      <c r="D3962">
        <v>151.19999999999999</v>
      </c>
      <c r="E3962">
        <v>30</v>
      </c>
      <c r="F3962">
        <v>9.3000000000000007</v>
      </c>
    </row>
    <row r="3963" spans="1:6" x14ac:dyDescent="0.2">
      <c r="A3963">
        <v>736787.65879999998</v>
      </c>
      <c r="B3963">
        <v>-149.597353</v>
      </c>
      <c r="C3963">
        <v>-17.021301999999999</v>
      </c>
      <c r="D3963">
        <v>151.30080023657101</v>
      </c>
      <c r="E3963">
        <v>30</v>
      </c>
      <c r="F3963">
        <v>9.3067200157713792</v>
      </c>
    </row>
    <row r="3964" spans="1:6" x14ac:dyDescent="0.2">
      <c r="A3964">
        <v>736787.65879999998</v>
      </c>
      <c r="B3964">
        <v>-149.59734599999999</v>
      </c>
      <c r="C3964">
        <v>-17.021291999999999</v>
      </c>
      <c r="D3964">
        <v>151.30080023657101</v>
      </c>
      <c r="E3964">
        <v>30</v>
      </c>
      <c r="F3964">
        <v>9.3067200157713792</v>
      </c>
    </row>
    <row r="3965" spans="1:6" x14ac:dyDescent="0.2">
      <c r="A3965">
        <v>736787.65879999998</v>
      </c>
      <c r="B3965">
        <v>-149.597342</v>
      </c>
      <c r="C3965">
        <v>-17.021277999999999</v>
      </c>
      <c r="D3965">
        <v>151.30080023657101</v>
      </c>
      <c r="E3965">
        <v>30</v>
      </c>
      <c r="F3965">
        <v>9.3067200157713792</v>
      </c>
    </row>
    <row r="3966" spans="1:6" x14ac:dyDescent="0.2">
      <c r="A3966">
        <v>736787.65879999998</v>
      </c>
      <c r="B3966">
        <v>-149.59734399999999</v>
      </c>
      <c r="C3966">
        <v>-17.021270000000001</v>
      </c>
      <c r="D3966">
        <v>151.30080023657101</v>
      </c>
      <c r="E3966">
        <v>30</v>
      </c>
      <c r="F3966">
        <v>9.3067200157713792</v>
      </c>
    </row>
    <row r="3967" spans="1:6" x14ac:dyDescent="0.2">
      <c r="A3967">
        <v>736787.65879999998</v>
      </c>
      <c r="B3967">
        <v>-149.597341</v>
      </c>
      <c r="C3967">
        <v>-17.021260000000002</v>
      </c>
      <c r="D3967">
        <v>151.30080023657101</v>
      </c>
      <c r="E3967">
        <v>30</v>
      </c>
      <c r="F3967">
        <v>9.3067200157713792</v>
      </c>
    </row>
    <row r="3968" spans="1:6" x14ac:dyDescent="0.2">
      <c r="A3968">
        <v>736787.65890000004</v>
      </c>
      <c r="B3968">
        <v>-149.59734800000001</v>
      </c>
      <c r="C3968">
        <v>-17.021243999999999</v>
      </c>
      <c r="D3968">
        <v>152.6</v>
      </c>
      <c r="E3968">
        <v>30.1</v>
      </c>
      <c r="F3968">
        <v>9.39</v>
      </c>
    </row>
    <row r="3969" spans="1:6" x14ac:dyDescent="0.2">
      <c r="A3969">
        <v>736787.65890000004</v>
      </c>
      <c r="B3969">
        <v>-149.59734599999999</v>
      </c>
      <c r="C3969">
        <v>-17.021225999999999</v>
      </c>
      <c r="D3969">
        <v>152.6</v>
      </c>
      <c r="E3969">
        <v>30.1</v>
      </c>
      <c r="F3969">
        <v>9.39</v>
      </c>
    </row>
    <row r="3970" spans="1:6" x14ac:dyDescent="0.2">
      <c r="A3970">
        <v>736787.65890000004</v>
      </c>
      <c r="B3970">
        <v>-149.59733800000001</v>
      </c>
      <c r="C3970">
        <v>-17.021205999999999</v>
      </c>
      <c r="D3970">
        <v>152.6</v>
      </c>
      <c r="E3970">
        <v>30.1</v>
      </c>
      <c r="F3970">
        <v>9.39</v>
      </c>
    </row>
    <row r="3971" spans="1:6" x14ac:dyDescent="0.2">
      <c r="A3971">
        <v>736787.65890000004</v>
      </c>
      <c r="B3971">
        <v>-149.59733600000001</v>
      </c>
      <c r="C3971">
        <v>-17.021187999999999</v>
      </c>
      <c r="D3971">
        <v>152.6</v>
      </c>
      <c r="E3971">
        <v>30.1</v>
      </c>
      <c r="F3971">
        <v>9.39</v>
      </c>
    </row>
    <row r="3972" spans="1:6" x14ac:dyDescent="0.2">
      <c r="A3972">
        <v>736787.65890000004</v>
      </c>
      <c r="B3972">
        <v>-149.59733800000001</v>
      </c>
      <c r="C3972">
        <v>-17.021173999999998</v>
      </c>
      <c r="D3972">
        <v>152.6</v>
      </c>
      <c r="E3972">
        <v>30.1</v>
      </c>
      <c r="F3972">
        <v>9.39</v>
      </c>
    </row>
    <row r="3973" spans="1:6" x14ac:dyDescent="0.2">
      <c r="A3973">
        <v>736787.65890000004</v>
      </c>
      <c r="B3973">
        <v>-149.59733499999999</v>
      </c>
      <c r="C3973">
        <v>-17.021158</v>
      </c>
      <c r="D3973">
        <v>152.6</v>
      </c>
      <c r="E3973">
        <v>30.1</v>
      </c>
      <c r="F3973">
        <v>9.39</v>
      </c>
    </row>
    <row r="3974" spans="1:6" x14ac:dyDescent="0.2">
      <c r="A3974">
        <v>736787.65899999999</v>
      </c>
      <c r="B3974">
        <v>-149.59733399999999</v>
      </c>
      <c r="C3974">
        <v>-17.021134</v>
      </c>
      <c r="D3974">
        <v>152.88800004827999</v>
      </c>
      <c r="E3974">
        <v>30.1</v>
      </c>
      <c r="F3974">
        <v>9.4088000048279792</v>
      </c>
    </row>
    <row r="3975" spans="1:6" x14ac:dyDescent="0.2">
      <c r="A3975">
        <v>736787.65899999999</v>
      </c>
      <c r="B3975">
        <v>-149.59733499999999</v>
      </c>
      <c r="C3975">
        <v>-17.021121999999998</v>
      </c>
      <c r="D3975">
        <v>152.88800004827999</v>
      </c>
      <c r="E3975">
        <v>30.1</v>
      </c>
      <c r="F3975">
        <v>9.4088000048279792</v>
      </c>
    </row>
    <row r="3976" spans="1:6" x14ac:dyDescent="0.2">
      <c r="A3976">
        <v>736787.65899999999</v>
      </c>
      <c r="B3976">
        <v>-149.59733199999999</v>
      </c>
      <c r="C3976">
        <v>-17.021101999999999</v>
      </c>
      <c r="D3976">
        <v>152.88800004827999</v>
      </c>
      <c r="E3976">
        <v>30.1</v>
      </c>
      <c r="F3976">
        <v>9.4088000048279792</v>
      </c>
    </row>
    <row r="3977" spans="1:6" x14ac:dyDescent="0.2">
      <c r="A3977">
        <v>736787.65899999999</v>
      </c>
      <c r="B3977">
        <v>-149.597328</v>
      </c>
      <c r="C3977">
        <v>-17.021086</v>
      </c>
      <c r="D3977">
        <v>152.88800004827999</v>
      </c>
      <c r="E3977">
        <v>30.1</v>
      </c>
      <c r="F3977">
        <v>9.4088000048279792</v>
      </c>
    </row>
    <row r="3978" spans="1:6" x14ac:dyDescent="0.2">
      <c r="A3978">
        <v>736787.65899999999</v>
      </c>
      <c r="B3978">
        <v>-149.59732700000001</v>
      </c>
      <c r="C3978">
        <v>-17.021075</v>
      </c>
      <c r="D3978">
        <v>152.88800004827999</v>
      </c>
      <c r="E3978">
        <v>30.1</v>
      </c>
      <c r="F3978">
        <v>9.4088000048279792</v>
      </c>
    </row>
    <row r="3979" spans="1:6" x14ac:dyDescent="0.2">
      <c r="A3979">
        <v>736787.65899999999</v>
      </c>
      <c r="B3979">
        <v>-149.59732199999999</v>
      </c>
      <c r="C3979">
        <v>-17.021063000000002</v>
      </c>
      <c r="D3979">
        <v>152.88800004827999</v>
      </c>
      <c r="E3979">
        <v>30.1</v>
      </c>
      <c r="F3979">
        <v>9.4088000048279792</v>
      </c>
    </row>
    <row r="3980" spans="1:6" x14ac:dyDescent="0.2">
      <c r="A3980">
        <v>736787.65899999999</v>
      </c>
      <c r="B3980">
        <v>-149.59732199999999</v>
      </c>
      <c r="C3980">
        <v>-17.021051</v>
      </c>
      <c r="D3980">
        <v>152.88800004827999</v>
      </c>
      <c r="E3980">
        <v>30.1</v>
      </c>
      <c r="F3980">
        <v>9.4088000048279792</v>
      </c>
    </row>
    <row r="3981" spans="1:6" x14ac:dyDescent="0.2">
      <c r="A3981">
        <v>736787.65910000005</v>
      </c>
      <c r="B3981">
        <v>-149.59732700000001</v>
      </c>
      <c r="C3981">
        <v>-17.021038000000001</v>
      </c>
      <c r="D3981">
        <v>152.80000000000001</v>
      </c>
      <c r="E3981">
        <v>30.1</v>
      </c>
      <c r="F3981">
        <v>9.3915199868035408</v>
      </c>
    </row>
    <row r="3982" spans="1:6" x14ac:dyDescent="0.2">
      <c r="A3982">
        <v>736787.65910000005</v>
      </c>
      <c r="B3982">
        <v>-149.59732600000001</v>
      </c>
      <c r="C3982">
        <v>-17.021024000000001</v>
      </c>
      <c r="D3982">
        <v>152.80000000000001</v>
      </c>
      <c r="E3982">
        <v>30.1</v>
      </c>
      <c r="F3982">
        <v>9.3915199868035408</v>
      </c>
    </row>
    <row r="3983" spans="1:6" x14ac:dyDescent="0.2">
      <c r="A3983">
        <v>736787.65910000005</v>
      </c>
      <c r="B3983">
        <v>-149.59732099999999</v>
      </c>
      <c r="C3983">
        <v>-17.021008999999999</v>
      </c>
      <c r="D3983">
        <v>152.80000000000001</v>
      </c>
      <c r="E3983">
        <v>30.1</v>
      </c>
      <c r="F3983">
        <v>9.3915199868035408</v>
      </c>
    </row>
    <row r="3984" spans="1:6" x14ac:dyDescent="0.2">
      <c r="A3984">
        <v>736787.65910000005</v>
      </c>
      <c r="B3984">
        <v>-149.59732299999999</v>
      </c>
      <c r="C3984">
        <v>-17.020993000000001</v>
      </c>
      <c r="D3984">
        <v>152.80000000000001</v>
      </c>
      <c r="E3984">
        <v>30.1</v>
      </c>
      <c r="F3984">
        <v>9.3915199868035408</v>
      </c>
    </row>
    <row r="3985" spans="1:6" x14ac:dyDescent="0.2">
      <c r="A3985">
        <v>736787.65910000005</v>
      </c>
      <c r="B3985">
        <v>-149.59733299999999</v>
      </c>
      <c r="C3985">
        <v>-17.020976999999998</v>
      </c>
      <c r="D3985">
        <v>152.80000000000001</v>
      </c>
      <c r="E3985">
        <v>30.1</v>
      </c>
      <c r="F3985">
        <v>9.3915199868035408</v>
      </c>
    </row>
    <row r="3986" spans="1:6" x14ac:dyDescent="0.2">
      <c r="A3986">
        <v>736787.65910000005</v>
      </c>
      <c r="B3986">
        <v>-149.59733700000001</v>
      </c>
      <c r="C3986">
        <v>-17.020956000000002</v>
      </c>
      <c r="D3986">
        <v>152.80000000000001</v>
      </c>
      <c r="E3986">
        <v>30.1</v>
      </c>
      <c r="F3986">
        <v>9.3915199868035408</v>
      </c>
    </row>
    <row r="3987" spans="1:6" x14ac:dyDescent="0.2">
      <c r="A3987">
        <v>736787.65910000005</v>
      </c>
      <c r="B3987">
        <v>-149.59734499999999</v>
      </c>
      <c r="C3987">
        <v>-17.020944</v>
      </c>
      <c r="D3987">
        <v>152.80000000000001</v>
      </c>
      <c r="E3987">
        <v>30.1</v>
      </c>
      <c r="F3987">
        <v>9.3915199868035408</v>
      </c>
    </row>
    <row r="3988" spans="1:6" x14ac:dyDescent="0.2">
      <c r="A3988">
        <v>736787.65919999999</v>
      </c>
      <c r="B3988">
        <v>-149.59734599999999</v>
      </c>
      <c r="C3988">
        <v>-17.02093</v>
      </c>
      <c r="D3988">
        <v>153.34240006598199</v>
      </c>
      <c r="E3988">
        <v>30.1</v>
      </c>
      <c r="F3988">
        <v>9.43</v>
      </c>
    </row>
    <row r="3989" spans="1:6" x14ac:dyDescent="0.2">
      <c r="A3989">
        <v>736787.65919999999</v>
      </c>
      <c r="B3989">
        <v>-149.59734499999999</v>
      </c>
      <c r="C3989">
        <v>-17.020918000000002</v>
      </c>
      <c r="D3989">
        <v>153.34240006598199</v>
      </c>
      <c r="E3989">
        <v>30.1</v>
      </c>
      <c r="F3989">
        <v>9.43</v>
      </c>
    </row>
    <row r="3990" spans="1:6" x14ac:dyDescent="0.2">
      <c r="A3990">
        <v>736787.65919999999</v>
      </c>
      <c r="B3990">
        <v>-149.59734</v>
      </c>
      <c r="C3990">
        <v>-17.020907000000001</v>
      </c>
      <c r="D3990">
        <v>153.34240006598199</v>
      </c>
      <c r="E3990">
        <v>30.1</v>
      </c>
      <c r="F3990">
        <v>9.43</v>
      </c>
    </row>
    <row r="3991" spans="1:6" x14ac:dyDescent="0.2">
      <c r="A3991">
        <v>736787.65919999999</v>
      </c>
      <c r="B3991">
        <v>-149.59733700000001</v>
      </c>
      <c r="C3991">
        <v>-17.020892</v>
      </c>
      <c r="D3991">
        <v>153.34240006598199</v>
      </c>
      <c r="E3991">
        <v>30.1</v>
      </c>
      <c r="F3991">
        <v>9.43</v>
      </c>
    </row>
    <row r="3992" spans="1:6" x14ac:dyDescent="0.2">
      <c r="A3992">
        <v>736787.65919999999</v>
      </c>
      <c r="B3992">
        <v>-149.59733399999999</v>
      </c>
      <c r="C3992">
        <v>-17.020879000000001</v>
      </c>
      <c r="D3992">
        <v>153.34240006598199</v>
      </c>
      <c r="E3992">
        <v>30.1</v>
      </c>
      <c r="F3992">
        <v>9.43</v>
      </c>
    </row>
    <row r="3993" spans="1:6" x14ac:dyDescent="0.2">
      <c r="A3993">
        <v>736787.65919999999</v>
      </c>
      <c r="B3993">
        <v>-149.597329</v>
      </c>
      <c r="C3993">
        <v>-17.020866999999999</v>
      </c>
      <c r="D3993">
        <v>153.34240006598199</v>
      </c>
      <c r="E3993">
        <v>30.1</v>
      </c>
      <c r="F3993">
        <v>9.43</v>
      </c>
    </row>
    <row r="3994" spans="1:6" x14ac:dyDescent="0.2">
      <c r="A3994">
        <v>736787.65919999999</v>
      </c>
      <c r="B3994">
        <v>-149.59732500000001</v>
      </c>
      <c r="C3994">
        <v>-17.020859000000002</v>
      </c>
      <c r="D3994">
        <v>153.34240006598199</v>
      </c>
      <c r="E3994">
        <v>30.1</v>
      </c>
      <c r="F3994">
        <v>9.43</v>
      </c>
    </row>
    <row r="3995" spans="1:6" x14ac:dyDescent="0.2">
      <c r="A3995">
        <v>736787.65919999999</v>
      </c>
      <c r="B3995">
        <v>-149.59732199999999</v>
      </c>
      <c r="C3995">
        <v>-17.020844</v>
      </c>
      <c r="D3995">
        <v>153.34240006598199</v>
      </c>
      <c r="E3995">
        <v>30.1</v>
      </c>
      <c r="F3995">
        <v>9.43</v>
      </c>
    </row>
    <row r="3996" spans="1:6" x14ac:dyDescent="0.2">
      <c r="A3996">
        <v>736787.65919999999</v>
      </c>
      <c r="B3996">
        <v>-149.597319</v>
      </c>
      <c r="C3996">
        <v>-17.020831000000001</v>
      </c>
      <c r="D3996">
        <v>153.34240006598199</v>
      </c>
      <c r="E3996">
        <v>30.1</v>
      </c>
      <c r="F3996">
        <v>9.43</v>
      </c>
    </row>
    <row r="3997" spans="1:6" x14ac:dyDescent="0.2">
      <c r="A3997">
        <v>736787.65930000006</v>
      </c>
      <c r="B3997">
        <v>-149.59731500000001</v>
      </c>
      <c r="C3997">
        <v>-17.020814000000001</v>
      </c>
      <c r="D3997">
        <v>153.543201107215</v>
      </c>
      <c r="E3997">
        <v>30.1</v>
      </c>
      <c r="F3997">
        <v>9.4452000692009506</v>
      </c>
    </row>
    <row r="3998" spans="1:6" x14ac:dyDescent="0.2">
      <c r="A3998">
        <v>736787.65930000006</v>
      </c>
      <c r="B3998">
        <v>-149.597309</v>
      </c>
      <c r="C3998">
        <v>-17.020800999999999</v>
      </c>
      <c r="D3998">
        <v>153.543201107215</v>
      </c>
      <c r="E3998">
        <v>30.1</v>
      </c>
      <c r="F3998">
        <v>9.4452000692009506</v>
      </c>
    </row>
    <row r="3999" spans="1:6" x14ac:dyDescent="0.2">
      <c r="A3999">
        <v>736787.65930000006</v>
      </c>
      <c r="B3999">
        <v>-149.59729899999999</v>
      </c>
      <c r="C3999">
        <v>-17.020780999999999</v>
      </c>
      <c r="D3999">
        <v>153.543201107215</v>
      </c>
      <c r="E3999">
        <v>30.1</v>
      </c>
      <c r="F3999">
        <v>9.4452000692009506</v>
      </c>
    </row>
    <row r="4000" spans="1:6" x14ac:dyDescent="0.2">
      <c r="A4000">
        <v>736787.65930000006</v>
      </c>
      <c r="B4000">
        <v>-149.597295</v>
      </c>
      <c r="C4000">
        <v>-17.020766999999999</v>
      </c>
      <c r="D4000">
        <v>153.543201107215</v>
      </c>
      <c r="E4000">
        <v>30.1</v>
      </c>
      <c r="F4000">
        <v>9.4452000692009506</v>
      </c>
    </row>
    <row r="4001" spans="1:6" x14ac:dyDescent="0.2">
      <c r="A4001">
        <v>736787.65930000006</v>
      </c>
      <c r="B4001">
        <v>-149.597297</v>
      </c>
      <c r="C4001">
        <v>-17.020748000000001</v>
      </c>
      <c r="D4001">
        <v>153.543201107215</v>
      </c>
      <c r="E4001">
        <v>30.1</v>
      </c>
      <c r="F4001">
        <v>9.4452000692009506</v>
      </c>
    </row>
    <row r="4002" spans="1:6" x14ac:dyDescent="0.2">
      <c r="A4002">
        <v>736787.65930000006</v>
      </c>
      <c r="B4002">
        <v>-149.597296</v>
      </c>
      <c r="C4002">
        <v>-17.020733</v>
      </c>
      <c r="D4002">
        <v>153.543201107215</v>
      </c>
      <c r="E4002">
        <v>30.1</v>
      </c>
      <c r="F4002">
        <v>9.4452000692009506</v>
      </c>
    </row>
    <row r="4003" spans="1:6" x14ac:dyDescent="0.2">
      <c r="A4003">
        <v>736787.65930000006</v>
      </c>
      <c r="B4003">
        <v>-149.597297</v>
      </c>
      <c r="C4003">
        <v>-17.020721000000002</v>
      </c>
      <c r="D4003">
        <v>153.543201107215</v>
      </c>
      <c r="E4003">
        <v>30.1</v>
      </c>
      <c r="F4003">
        <v>9.4452000692009506</v>
      </c>
    </row>
    <row r="4004" spans="1:6" x14ac:dyDescent="0.2">
      <c r="A4004">
        <v>736787.6594</v>
      </c>
      <c r="B4004">
        <v>-149.59729300000001</v>
      </c>
      <c r="C4004">
        <v>-17.020710000000001</v>
      </c>
      <c r="D4004">
        <v>155</v>
      </c>
      <c r="E4004">
        <v>30.1</v>
      </c>
      <c r="F4004">
        <v>9.52</v>
      </c>
    </row>
    <row r="4005" spans="1:6" x14ac:dyDescent="0.2">
      <c r="A4005">
        <v>736787.6594</v>
      </c>
      <c r="B4005">
        <v>-149.59729200000001</v>
      </c>
      <c r="C4005">
        <v>-17.020697999999999</v>
      </c>
      <c r="D4005">
        <v>155</v>
      </c>
      <c r="E4005">
        <v>30.1</v>
      </c>
      <c r="F4005">
        <v>9.52</v>
      </c>
    </row>
    <row r="4006" spans="1:6" x14ac:dyDescent="0.2">
      <c r="A4006">
        <v>736787.6594</v>
      </c>
      <c r="B4006">
        <v>-149.59729899999999</v>
      </c>
      <c r="C4006">
        <v>-17.020686000000001</v>
      </c>
      <c r="D4006">
        <v>155</v>
      </c>
      <c r="E4006">
        <v>30.1</v>
      </c>
      <c r="F4006">
        <v>9.52</v>
      </c>
    </row>
    <row r="4007" spans="1:6" x14ac:dyDescent="0.2">
      <c r="A4007">
        <v>736787.6594</v>
      </c>
      <c r="B4007">
        <v>-149.59730999999999</v>
      </c>
      <c r="C4007">
        <v>-17.020669999999999</v>
      </c>
      <c r="D4007">
        <v>155</v>
      </c>
      <c r="E4007">
        <v>30.1</v>
      </c>
      <c r="F4007">
        <v>9.52</v>
      </c>
    </row>
    <row r="4008" spans="1:6" x14ac:dyDescent="0.2">
      <c r="A4008">
        <v>736787.6594</v>
      </c>
      <c r="B4008">
        <v>-149.597317</v>
      </c>
      <c r="C4008">
        <v>-17.020658999999998</v>
      </c>
      <c r="D4008">
        <v>155</v>
      </c>
      <c r="E4008">
        <v>30.1</v>
      </c>
      <c r="F4008">
        <v>9.52</v>
      </c>
    </row>
    <row r="4009" spans="1:6" x14ac:dyDescent="0.2">
      <c r="A4009">
        <v>736787.6594</v>
      </c>
      <c r="B4009">
        <v>-149.59732299999999</v>
      </c>
      <c r="C4009">
        <v>-17.020647</v>
      </c>
      <c r="D4009">
        <v>155</v>
      </c>
      <c r="E4009">
        <v>30.1</v>
      </c>
      <c r="F4009">
        <v>9.52</v>
      </c>
    </row>
    <row r="4010" spans="1:6" x14ac:dyDescent="0.2">
      <c r="A4010">
        <v>736787.6594</v>
      </c>
      <c r="B4010">
        <v>-149.59733</v>
      </c>
      <c r="C4010">
        <v>-17.020634999999999</v>
      </c>
      <c r="D4010">
        <v>155</v>
      </c>
      <c r="E4010">
        <v>30.1</v>
      </c>
      <c r="F4010">
        <v>9.52</v>
      </c>
    </row>
    <row r="4011" spans="1:6" x14ac:dyDescent="0.2">
      <c r="A4011">
        <v>736787.6594</v>
      </c>
      <c r="B4011">
        <v>-149.59733600000001</v>
      </c>
      <c r="C4011">
        <v>-17.020624000000002</v>
      </c>
      <c r="D4011">
        <v>155</v>
      </c>
      <c r="E4011">
        <v>30.1</v>
      </c>
      <c r="F4011">
        <v>9.52</v>
      </c>
    </row>
    <row r="4012" spans="1:6" x14ac:dyDescent="0.2">
      <c r="A4012">
        <v>736787.6594</v>
      </c>
      <c r="B4012">
        <v>-149.597342</v>
      </c>
      <c r="C4012">
        <v>-17.020616</v>
      </c>
      <c r="D4012">
        <v>155</v>
      </c>
      <c r="E4012">
        <v>30.1</v>
      </c>
      <c r="F4012">
        <v>9.52</v>
      </c>
    </row>
    <row r="4013" spans="1:6" x14ac:dyDescent="0.2">
      <c r="A4013">
        <v>736787.65949999995</v>
      </c>
      <c r="B4013">
        <v>-149.59734399999999</v>
      </c>
      <c r="C4013">
        <v>-17.020600999999999</v>
      </c>
      <c r="D4013">
        <v>155.53199960571499</v>
      </c>
      <c r="E4013">
        <v>30.1</v>
      </c>
      <c r="F4013">
        <v>9.5579999718368196</v>
      </c>
    </row>
    <row r="4014" spans="1:6" x14ac:dyDescent="0.2">
      <c r="A4014">
        <v>736787.65949999995</v>
      </c>
      <c r="B4014">
        <v>-149.59734599999999</v>
      </c>
      <c r="C4014">
        <v>-17.020591</v>
      </c>
      <c r="D4014">
        <v>155.53199960571499</v>
      </c>
      <c r="E4014">
        <v>30.1</v>
      </c>
      <c r="F4014">
        <v>9.5579999718368196</v>
      </c>
    </row>
    <row r="4015" spans="1:6" x14ac:dyDescent="0.2">
      <c r="A4015">
        <v>736787.65949999995</v>
      </c>
      <c r="B4015">
        <v>-149.59734599999999</v>
      </c>
      <c r="C4015">
        <v>-17.020582000000001</v>
      </c>
      <c r="D4015">
        <v>155.53199960571499</v>
      </c>
      <c r="E4015">
        <v>30.1</v>
      </c>
      <c r="F4015">
        <v>9.5579999718368196</v>
      </c>
    </row>
    <row r="4016" spans="1:6" x14ac:dyDescent="0.2">
      <c r="A4016">
        <v>736787.65949999995</v>
      </c>
      <c r="B4016">
        <v>-149.59734499999999</v>
      </c>
      <c r="C4016">
        <v>-17.020567</v>
      </c>
      <c r="D4016">
        <v>155.53199960571499</v>
      </c>
      <c r="E4016">
        <v>30.1</v>
      </c>
      <c r="F4016">
        <v>9.5579999718368196</v>
      </c>
    </row>
    <row r="4017" spans="1:6" x14ac:dyDescent="0.2">
      <c r="A4017">
        <v>736787.65949999995</v>
      </c>
      <c r="B4017">
        <v>-149.59734499999999</v>
      </c>
      <c r="C4017">
        <v>-17.020557</v>
      </c>
      <c r="D4017">
        <v>155.53199960571499</v>
      </c>
      <c r="E4017">
        <v>30.1</v>
      </c>
      <c r="F4017">
        <v>9.5579999718368196</v>
      </c>
    </row>
    <row r="4018" spans="1:6" x14ac:dyDescent="0.2">
      <c r="A4018">
        <v>736787.65949999995</v>
      </c>
      <c r="B4018">
        <v>-149.59734</v>
      </c>
      <c r="C4018">
        <v>-17.020547000000001</v>
      </c>
      <c r="D4018">
        <v>155.53199960571499</v>
      </c>
      <c r="E4018">
        <v>30.1</v>
      </c>
      <c r="F4018">
        <v>9.5579999718368196</v>
      </c>
    </row>
    <row r="4019" spans="1:6" x14ac:dyDescent="0.2">
      <c r="A4019">
        <v>736787.65949999995</v>
      </c>
      <c r="B4019">
        <v>-149.59733800000001</v>
      </c>
      <c r="C4019">
        <v>-17.020537000000001</v>
      </c>
      <c r="D4019">
        <v>155.53199960571499</v>
      </c>
      <c r="E4019">
        <v>30.1</v>
      </c>
      <c r="F4019">
        <v>9.5579999718368196</v>
      </c>
    </row>
    <row r="4020" spans="1:6" x14ac:dyDescent="0.2">
      <c r="A4020">
        <v>736787.65949999995</v>
      </c>
      <c r="B4020">
        <v>-149.59733399999999</v>
      </c>
      <c r="C4020">
        <v>-17.020526</v>
      </c>
      <c r="D4020">
        <v>155.53199960571499</v>
      </c>
      <c r="E4020">
        <v>30.1</v>
      </c>
      <c r="F4020">
        <v>9.5579999718368196</v>
      </c>
    </row>
    <row r="4021" spans="1:6" x14ac:dyDescent="0.2">
      <c r="A4021">
        <v>736787.65949999995</v>
      </c>
      <c r="B4021">
        <v>-149.597329</v>
      </c>
      <c r="C4021">
        <v>-17.020513000000001</v>
      </c>
      <c r="D4021">
        <v>155.53199960571499</v>
      </c>
      <c r="E4021">
        <v>30.1</v>
      </c>
      <c r="F4021">
        <v>9.5579999718368196</v>
      </c>
    </row>
    <row r="4022" spans="1:6" x14ac:dyDescent="0.2">
      <c r="A4022">
        <v>736787.65960000001</v>
      </c>
      <c r="B4022">
        <v>-149.59731600000001</v>
      </c>
      <c r="C4022">
        <v>-17.020496000000001</v>
      </c>
      <c r="D4022">
        <v>156.19999999999999</v>
      </c>
      <c r="E4022">
        <v>30.1</v>
      </c>
      <c r="F4022">
        <v>9.6</v>
      </c>
    </row>
    <row r="4023" spans="1:6" x14ac:dyDescent="0.2">
      <c r="A4023">
        <v>736787.65960000001</v>
      </c>
      <c r="B4023">
        <v>-149.59730999999999</v>
      </c>
      <c r="C4023">
        <v>-17.020468000000001</v>
      </c>
      <c r="D4023">
        <v>156.19999999999999</v>
      </c>
      <c r="E4023">
        <v>30.1</v>
      </c>
      <c r="F4023">
        <v>9.6</v>
      </c>
    </row>
    <row r="4024" spans="1:6" x14ac:dyDescent="0.2">
      <c r="A4024">
        <v>736787.65960000001</v>
      </c>
      <c r="B4024">
        <v>-149.597307</v>
      </c>
      <c r="C4024">
        <v>-17.020455999999999</v>
      </c>
      <c r="D4024">
        <v>156.19999999999999</v>
      </c>
      <c r="E4024">
        <v>30.1</v>
      </c>
      <c r="F4024">
        <v>9.6</v>
      </c>
    </row>
    <row r="4025" spans="1:6" x14ac:dyDescent="0.2">
      <c r="A4025">
        <v>736787.65960000001</v>
      </c>
      <c r="B4025">
        <v>-149.59730999999999</v>
      </c>
      <c r="C4025">
        <v>-17.020447000000001</v>
      </c>
      <c r="D4025">
        <v>156.19999999999999</v>
      </c>
      <c r="E4025">
        <v>30.1</v>
      </c>
      <c r="F4025">
        <v>9.6</v>
      </c>
    </row>
    <row r="4026" spans="1:6" x14ac:dyDescent="0.2">
      <c r="A4026">
        <v>736787.65960000001</v>
      </c>
      <c r="B4026">
        <v>-149.59731099999999</v>
      </c>
      <c r="C4026">
        <v>-17.020430999999999</v>
      </c>
      <c r="D4026">
        <v>156.19999999999999</v>
      </c>
      <c r="E4026">
        <v>30.1</v>
      </c>
      <c r="F4026">
        <v>9.6</v>
      </c>
    </row>
    <row r="4027" spans="1:6" x14ac:dyDescent="0.2">
      <c r="A4027">
        <v>736787.65969999996</v>
      </c>
      <c r="B4027">
        <v>-149.597317</v>
      </c>
      <c r="C4027">
        <v>-17.020416000000001</v>
      </c>
      <c r="D4027">
        <v>155.42959970066599</v>
      </c>
      <c r="E4027">
        <v>30.1</v>
      </c>
      <c r="F4027">
        <v>9.5486399800443795</v>
      </c>
    </row>
    <row r="4028" spans="1:6" x14ac:dyDescent="0.2">
      <c r="A4028">
        <v>736787.65969999996</v>
      </c>
      <c r="B4028">
        <v>-149.597318</v>
      </c>
      <c r="C4028">
        <v>-17.020403000000002</v>
      </c>
      <c r="D4028">
        <v>155.42959970066599</v>
      </c>
      <c r="E4028">
        <v>30.1</v>
      </c>
      <c r="F4028">
        <v>9.5486399800443795</v>
      </c>
    </row>
    <row r="4029" spans="1:6" x14ac:dyDescent="0.2">
      <c r="A4029">
        <v>736787.65969999996</v>
      </c>
      <c r="B4029">
        <v>-149.59732199999999</v>
      </c>
      <c r="C4029">
        <v>-17.020394</v>
      </c>
      <c r="D4029">
        <v>155.42959970066599</v>
      </c>
      <c r="E4029">
        <v>30.1</v>
      </c>
      <c r="F4029">
        <v>9.5486399800443795</v>
      </c>
    </row>
    <row r="4030" spans="1:6" x14ac:dyDescent="0.2">
      <c r="A4030">
        <v>736787.65969999996</v>
      </c>
      <c r="B4030">
        <v>-149.597319</v>
      </c>
      <c r="C4030">
        <v>-17.020382000000001</v>
      </c>
      <c r="D4030">
        <v>155.42959970066599</v>
      </c>
      <c r="E4030">
        <v>30.1</v>
      </c>
      <c r="F4030">
        <v>9.5486399800443795</v>
      </c>
    </row>
    <row r="4031" spans="1:6" x14ac:dyDescent="0.2">
      <c r="A4031">
        <v>736787.65969999996</v>
      </c>
      <c r="B4031">
        <v>-149.59732199999999</v>
      </c>
      <c r="C4031">
        <v>-17.020371000000001</v>
      </c>
      <c r="D4031">
        <v>155.42959970066599</v>
      </c>
      <c r="E4031">
        <v>30.1</v>
      </c>
      <c r="F4031">
        <v>9.5486399800443795</v>
      </c>
    </row>
    <row r="4032" spans="1:6" x14ac:dyDescent="0.2">
      <c r="A4032">
        <v>736787.65969999996</v>
      </c>
      <c r="B4032">
        <v>-149.59732700000001</v>
      </c>
      <c r="C4032">
        <v>-17.02036</v>
      </c>
      <c r="D4032">
        <v>155.42959970066599</v>
      </c>
      <c r="E4032">
        <v>30.1</v>
      </c>
      <c r="F4032">
        <v>9.5486399800443795</v>
      </c>
    </row>
    <row r="4033" spans="1:6" x14ac:dyDescent="0.2">
      <c r="A4033">
        <v>736787.65969999996</v>
      </c>
      <c r="B4033">
        <v>-149.59733</v>
      </c>
      <c r="C4033">
        <v>-17.020347000000001</v>
      </c>
      <c r="D4033">
        <v>155.42959970066599</v>
      </c>
      <c r="E4033">
        <v>30.1</v>
      </c>
      <c r="F4033">
        <v>9.5486399800443795</v>
      </c>
    </row>
    <row r="4034" spans="1:6" x14ac:dyDescent="0.2">
      <c r="A4034">
        <v>736787.65969999996</v>
      </c>
      <c r="B4034">
        <v>-149.597331</v>
      </c>
      <c r="C4034">
        <v>-17.020337000000001</v>
      </c>
      <c r="D4034">
        <v>155.42959970066599</v>
      </c>
      <c r="E4034">
        <v>30.1</v>
      </c>
      <c r="F4034">
        <v>9.5486399800443795</v>
      </c>
    </row>
    <row r="4035" spans="1:6" x14ac:dyDescent="0.2">
      <c r="A4035">
        <v>736787.65980000002</v>
      </c>
      <c r="B4035">
        <v>-149.59732500000001</v>
      </c>
      <c r="C4035">
        <v>-17.020325</v>
      </c>
      <c r="D4035">
        <v>156.466399719978</v>
      </c>
      <c r="E4035">
        <v>30.1</v>
      </c>
      <c r="F4035">
        <v>9.6177599813318402</v>
      </c>
    </row>
    <row r="4036" spans="1:6" x14ac:dyDescent="0.2">
      <c r="A4036">
        <v>736787.65980000002</v>
      </c>
      <c r="B4036">
        <v>-149.597328</v>
      </c>
      <c r="C4036">
        <v>-17.020309000000001</v>
      </c>
      <c r="D4036">
        <v>156.466399719978</v>
      </c>
      <c r="E4036">
        <v>30.1</v>
      </c>
      <c r="F4036">
        <v>9.6177599813318402</v>
      </c>
    </row>
    <row r="4037" spans="1:6" x14ac:dyDescent="0.2">
      <c r="A4037">
        <v>736787.65980000002</v>
      </c>
      <c r="B4037">
        <v>-149.59733600000001</v>
      </c>
      <c r="C4037">
        <v>-17.020292000000001</v>
      </c>
      <c r="D4037">
        <v>156.466399719978</v>
      </c>
      <c r="E4037">
        <v>30.1</v>
      </c>
      <c r="F4037">
        <v>9.6177599813318402</v>
      </c>
    </row>
    <row r="4038" spans="1:6" x14ac:dyDescent="0.2">
      <c r="A4038">
        <v>736787.65980000002</v>
      </c>
      <c r="B4038">
        <v>-149.59733600000001</v>
      </c>
      <c r="C4038">
        <v>-17.020275999999999</v>
      </c>
      <c r="D4038">
        <v>156.466399719978</v>
      </c>
      <c r="E4038">
        <v>30.1</v>
      </c>
      <c r="F4038">
        <v>9.6177599813318402</v>
      </c>
    </row>
    <row r="4039" spans="1:6" x14ac:dyDescent="0.2">
      <c r="A4039">
        <v>736787.65980000002</v>
      </c>
      <c r="B4039">
        <v>-149.59733399999999</v>
      </c>
      <c r="C4039">
        <v>-17.020267</v>
      </c>
      <c r="D4039">
        <v>156.466399719978</v>
      </c>
      <c r="E4039">
        <v>30.1</v>
      </c>
      <c r="F4039">
        <v>9.6177599813318402</v>
      </c>
    </row>
    <row r="4040" spans="1:6" x14ac:dyDescent="0.2">
      <c r="A4040">
        <v>736787.65980000002</v>
      </c>
      <c r="B4040">
        <v>-149.59732700000001</v>
      </c>
      <c r="C4040">
        <v>-17.020256</v>
      </c>
      <c r="D4040">
        <v>156.466399719978</v>
      </c>
      <c r="E4040">
        <v>30.1</v>
      </c>
      <c r="F4040">
        <v>9.6177599813318402</v>
      </c>
    </row>
    <row r="4041" spans="1:6" x14ac:dyDescent="0.2">
      <c r="A4041">
        <v>736787.65980000002</v>
      </c>
      <c r="B4041">
        <v>-149.59732299999999</v>
      </c>
      <c r="C4041">
        <v>-17.020242</v>
      </c>
      <c r="D4041">
        <v>156.466399719978</v>
      </c>
      <c r="E4041">
        <v>30.1</v>
      </c>
      <c r="F4041">
        <v>9.6177599813318402</v>
      </c>
    </row>
    <row r="4042" spans="1:6" x14ac:dyDescent="0.2">
      <c r="A4042">
        <v>736787.65980000002</v>
      </c>
      <c r="B4042">
        <v>-149.597318</v>
      </c>
      <c r="C4042">
        <v>-17.020225</v>
      </c>
      <c r="D4042">
        <v>156.466399719978</v>
      </c>
      <c r="E4042">
        <v>30.1</v>
      </c>
      <c r="F4042">
        <v>9.6177599813318402</v>
      </c>
    </row>
    <row r="4043" spans="1:6" x14ac:dyDescent="0.2">
      <c r="A4043">
        <v>736787.65980000002</v>
      </c>
      <c r="B4043">
        <v>-149.59731600000001</v>
      </c>
      <c r="C4043">
        <v>-17.020209000000001</v>
      </c>
      <c r="D4043">
        <v>156.466399719978</v>
      </c>
      <c r="E4043">
        <v>30.1</v>
      </c>
      <c r="F4043">
        <v>9.6177599813318402</v>
      </c>
    </row>
    <row r="4044" spans="1:6" x14ac:dyDescent="0.2">
      <c r="A4044">
        <v>736787.65989999997</v>
      </c>
      <c r="B4044">
        <v>-149.597317</v>
      </c>
      <c r="C4044">
        <v>-17.020195000000001</v>
      </c>
      <c r="D4044">
        <v>157.03759965238601</v>
      </c>
      <c r="E4044">
        <v>30.1</v>
      </c>
      <c r="F4044">
        <v>9.6435999782741195</v>
      </c>
    </row>
    <row r="4045" spans="1:6" x14ac:dyDescent="0.2">
      <c r="A4045">
        <v>736787.65989999997</v>
      </c>
      <c r="B4045">
        <v>-149.59731199999999</v>
      </c>
      <c r="C4045">
        <v>-17.020181999999998</v>
      </c>
      <c r="D4045">
        <v>157.03759965238601</v>
      </c>
      <c r="E4045">
        <v>30.1</v>
      </c>
      <c r="F4045">
        <v>9.6435999782741195</v>
      </c>
    </row>
    <row r="4046" spans="1:6" x14ac:dyDescent="0.2">
      <c r="A4046">
        <v>736787.65989999997</v>
      </c>
      <c r="B4046">
        <v>-149.59731600000001</v>
      </c>
      <c r="C4046">
        <v>-17.020161999999999</v>
      </c>
      <c r="D4046">
        <v>157.03759965238601</v>
      </c>
      <c r="E4046">
        <v>30.1</v>
      </c>
      <c r="F4046">
        <v>9.6435999782741195</v>
      </c>
    </row>
    <row r="4047" spans="1:6" x14ac:dyDescent="0.2">
      <c r="A4047">
        <v>736787.65989999997</v>
      </c>
      <c r="B4047">
        <v>-149.597319</v>
      </c>
      <c r="C4047">
        <v>-17.020147000000001</v>
      </c>
      <c r="D4047">
        <v>157.03759965238601</v>
      </c>
      <c r="E4047">
        <v>30.1</v>
      </c>
      <c r="F4047">
        <v>9.6435999782741195</v>
      </c>
    </row>
    <row r="4048" spans="1:6" x14ac:dyDescent="0.2">
      <c r="A4048">
        <v>736787.65989999997</v>
      </c>
      <c r="B4048">
        <v>-149.59732</v>
      </c>
      <c r="C4048">
        <v>-17.020136000000001</v>
      </c>
      <c r="D4048">
        <v>157.03759965238601</v>
      </c>
      <c r="E4048">
        <v>30.1</v>
      </c>
      <c r="F4048">
        <v>9.6435999782741195</v>
      </c>
    </row>
    <row r="4049" spans="1:6" x14ac:dyDescent="0.2">
      <c r="A4049">
        <v>736787.65989999997</v>
      </c>
      <c r="B4049">
        <v>-149.59732299999999</v>
      </c>
      <c r="C4049">
        <v>-17.020123000000002</v>
      </c>
      <c r="D4049">
        <v>157.03759965238601</v>
      </c>
      <c r="E4049">
        <v>30.1</v>
      </c>
      <c r="F4049">
        <v>9.6435999782741195</v>
      </c>
    </row>
    <row r="4050" spans="1:6" x14ac:dyDescent="0.2">
      <c r="A4050">
        <v>736787.65989999997</v>
      </c>
      <c r="B4050">
        <v>-149.59732600000001</v>
      </c>
      <c r="C4050">
        <v>-17.020112999999998</v>
      </c>
      <c r="D4050">
        <v>157.03759965238601</v>
      </c>
      <c r="E4050">
        <v>30.1</v>
      </c>
      <c r="F4050">
        <v>9.6435999782741195</v>
      </c>
    </row>
    <row r="4051" spans="1:6" x14ac:dyDescent="0.2">
      <c r="A4051">
        <v>736787.66</v>
      </c>
      <c r="B4051">
        <v>-149.59732500000001</v>
      </c>
      <c r="C4051">
        <v>-17.020099999999999</v>
      </c>
      <c r="D4051">
        <v>158</v>
      </c>
      <c r="E4051">
        <v>30.2</v>
      </c>
      <c r="F4051">
        <v>9.6999999999999993</v>
      </c>
    </row>
    <row r="4052" spans="1:6" x14ac:dyDescent="0.2">
      <c r="A4052">
        <v>736787.66</v>
      </c>
      <c r="B4052">
        <v>-149.59732700000001</v>
      </c>
      <c r="C4052">
        <v>-17.020091000000001</v>
      </c>
      <c r="D4052">
        <v>158</v>
      </c>
      <c r="E4052">
        <v>30.2</v>
      </c>
      <c r="F4052">
        <v>9.6999999999999993</v>
      </c>
    </row>
    <row r="4053" spans="1:6" x14ac:dyDescent="0.2">
      <c r="A4053">
        <v>736787.66</v>
      </c>
      <c r="B4053">
        <v>-149.597331</v>
      </c>
      <c r="C4053">
        <v>-17.020078000000002</v>
      </c>
      <c r="D4053">
        <v>158</v>
      </c>
      <c r="E4053">
        <v>30.2</v>
      </c>
      <c r="F4053">
        <v>9.6999999999999993</v>
      </c>
    </row>
    <row r="4054" spans="1:6" x14ac:dyDescent="0.2">
      <c r="A4054">
        <v>736787.66</v>
      </c>
      <c r="B4054">
        <v>-149.59733</v>
      </c>
      <c r="C4054">
        <v>-17.020063</v>
      </c>
      <c r="D4054">
        <v>158</v>
      </c>
      <c r="E4054">
        <v>30.2</v>
      </c>
      <c r="F4054">
        <v>9.6999999999999993</v>
      </c>
    </row>
    <row r="4055" spans="1:6" x14ac:dyDescent="0.2">
      <c r="A4055">
        <v>736787.66</v>
      </c>
      <c r="B4055">
        <v>-149.597329</v>
      </c>
      <c r="C4055">
        <v>-17.020050999999999</v>
      </c>
      <c r="D4055">
        <v>158</v>
      </c>
      <c r="E4055">
        <v>30.2</v>
      </c>
      <c r="F4055">
        <v>9.6999999999999993</v>
      </c>
    </row>
    <row r="4056" spans="1:6" x14ac:dyDescent="0.2">
      <c r="A4056">
        <v>736787.66</v>
      </c>
      <c r="B4056">
        <v>-149.597328</v>
      </c>
      <c r="C4056">
        <v>-17.020038</v>
      </c>
      <c r="D4056">
        <v>158</v>
      </c>
      <c r="E4056">
        <v>30.2</v>
      </c>
      <c r="F4056">
        <v>9.6999999999999993</v>
      </c>
    </row>
    <row r="4057" spans="1:6" x14ac:dyDescent="0.2">
      <c r="A4057">
        <v>736787.66</v>
      </c>
      <c r="B4057">
        <v>-149.59732700000001</v>
      </c>
      <c r="C4057">
        <v>-17.020026000000001</v>
      </c>
      <c r="D4057">
        <v>158</v>
      </c>
      <c r="E4057">
        <v>30.2</v>
      </c>
      <c r="F4057">
        <v>9.6999999999999993</v>
      </c>
    </row>
    <row r="4058" spans="1:6" x14ac:dyDescent="0.2">
      <c r="A4058">
        <v>736787.66</v>
      </c>
      <c r="B4058">
        <v>-149.59732399999999</v>
      </c>
      <c r="C4058">
        <v>-17.020009000000002</v>
      </c>
      <c r="D4058">
        <v>158</v>
      </c>
      <c r="E4058">
        <v>30.2</v>
      </c>
      <c r="F4058">
        <v>9.6999999999999993</v>
      </c>
    </row>
    <row r="4059" spans="1:6" x14ac:dyDescent="0.2">
      <c r="A4059">
        <v>736787.66</v>
      </c>
      <c r="B4059">
        <v>-149.59732099999999</v>
      </c>
      <c r="C4059">
        <v>-17.019995999999999</v>
      </c>
      <c r="D4059">
        <v>158</v>
      </c>
      <c r="E4059">
        <v>30.2</v>
      </c>
      <c r="F4059">
        <v>9.6999999999999993</v>
      </c>
    </row>
    <row r="4060" spans="1:6" x14ac:dyDescent="0.2">
      <c r="A4060">
        <v>736787.66009999998</v>
      </c>
      <c r="B4060">
        <v>-149.59732</v>
      </c>
      <c r="C4060">
        <v>-17.019985999999999</v>
      </c>
      <c r="D4060">
        <v>158.98720003701399</v>
      </c>
      <c r="E4060">
        <v>30.2</v>
      </c>
      <c r="F4060">
        <v>9.76</v>
      </c>
    </row>
    <row r="4061" spans="1:6" x14ac:dyDescent="0.2">
      <c r="A4061">
        <v>736787.66009999998</v>
      </c>
      <c r="B4061">
        <v>-149.59731600000001</v>
      </c>
      <c r="C4061">
        <v>-17.019976</v>
      </c>
      <c r="D4061">
        <v>158.98720003701399</v>
      </c>
      <c r="E4061">
        <v>30.2</v>
      </c>
      <c r="F4061">
        <v>9.76</v>
      </c>
    </row>
    <row r="4062" spans="1:6" x14ac:dyDescent="0.2">
      <c r="A4062">
        <v>736787.66009999998</v>
      </c>
      <c r="B4062">
        <v>-149.59731300000001</v>
      </c>
      <c r="C4062">
        <v>-17.019960000000001</v>
      </c>
      <c r="D4062">
        <v>158.98720003701399</v>
      </c>
      <c r="E4062">
        <v>30.2</v>
      </c>
      <c r="F4062">
        <v>9.76</v>
      </c>
    </row>
    <row r="4063" spans="1:6" x14ac:dyDescent="0.2">
      <c r="A4063">
        <v>736787.66009999998</v>
      </c>
      <c r="B4063">
        <v>-149.597317</v>
      </c>
      <c r="C4063">
        <v>-17.019945</v>
      </c>
      <c r="D4063">
        <v>158.98720003701399</v>
      </c>
      <c r="E4063">
        <v>30.2</v>
      </c>
      <c r="F4063">
        <v>9.76</v>
      </c>
    </row>
    <row r="4064" spans="1:6" x14ac:dyDescent="0.2">
      <c r="A4064">
        <v>736787.66009999998</v>
      </c>
      <c r="B4064">
        <v>-149.597317</v>
      </c>
      <c r="C4064">
        <v>-17.019931</v>
      </c>
      <c r="D4064">
        <v>158.98720003701399</v>
      </c>
      <c r="E4064">
        <v>30.2</v>
      </c>
      <c r="F4064">
        <v>9.76</v>
      </c>
    </row>
    <row r="4065" spans="1:6" x14ac:dyDescent="0.2">
      <c r="A4065">
        <v>736787.66009999998</v>
      </c>
      <c r="B4065">
        <v>-149.597319</v>
      </c>
      <c r="C4065">
        <v>-17.019919000000002</v>
      </c>
      <c r="D4065">
        <v>158.98720003701399</v>
      </c>
      <c r="E4065">
        <v>30.2</v>
      </c>
      <c r="F4065">
        <v>9.76</v>
      </c>
    </row>
    <row r="4066" spans="1:6" x14ac:dyDescent="0.2">
      <c r="A4066">
        <v>736787.66020000004</v>
      </c>
      <c r="B4066">
        <v>-149.59731500000001</v>
      </c>
      <c r="C4066">
        <v>-17.019907</v>
      </c>
      <c r="D4066">
        <v>158.9</v>
      </c>
      <c r="E4066">
        <v>30.2</v>
      </c>
      <c r="F4066">
        <v>9.76</v>
      </c>
    </row>
    <row r="4067" spans="1:6" x14ac:dyDescent="0.2">
      <c r="A4067">
        <v>736787.66020000004</v>
      </c>
      <c r="B4067">
        <v>-149.597317</v>
      </c>
      <c r="C4067">
        <v>-17.019895000000002</v>
      </c>
      <c r="D4067">
        <v>158.9</v>
      </c>
      <c r="E4067">
        <v>30.2</v>
      </c>
      <c r="F4067">
        <v>9.76</v>
      </c>
    </row>
    <row r="4068" spans="1:6" x14ac:dyDescent="0.2">
      <c r="A4068">
        <v>736787.66020000004</v>
      </c>
      <c r="B4068">
        <v>-149.59732299999999</v>
      </c>
      <c r="C4068">
        <v>-17.019884000000001</v>
      </c>
      <c r="D4068">
        <v>158.9</v>
      </c>
      <c r="E4068">
        <v>30.2</v>
      </c>
      <c r="F4068">
        <v>9.76</v>
      </c>
    </row>
    <row r="4069" spans="1:6" x14ac:dyDescent="0.2">
      <c r="A4069">
        <v>736787.66020000004</v>
      </c>
      <c r="B4069">
        <v>-149.59732399999999</v>
      </c>
      <c r="C4069">
        <v>-17.019867000000001</v>
      </c>
      <c r="D4069">
        <v>158.9</v>
      </c>
      <c r="E4069">
        <v>30.2</v>
      </c>
      <c r="F4069">
        <v>9.76</v>
      </c>
    </row>
    <row r="4070" spans="1:6" x14ac:dyDescent="0.2">
      <c r="A4070">
        <v>736787.66020000004</v>
      </c>
      <c r="B4070">
        <v>-149.59732299999999</v>
      </c>
      <c r="C4070">
        <v>-17.019850999999999</v>
      </c>
      <c r="D4070">
        <v>158.9</v>
      </c>
      <c r="E4070">
        <v>30.2</v>
      </c>
      <c r="F4070">
        <v>9.76</v>
      </c>
    </row>
    <row r="4071" spans="1:6" x14ac:dyDescent="0.2">
      <c r="A4071">
        <v>736787.66020000004</v>
      </c>
      <c r="B4071">
        <v>-149.59732</v>
      </c>
      <c r="C4071">
        <v>-17.019836000000002</v>
      </c>
      <c r="D4071">
        <v>158.9</v>
      </c>
      <c r="E4071">
        <v>30.2</v>
      </c>
      <c r="F4071">
        <v>9.76</v>
      </c>
    </row>
    <row r="4072" spans="1:6" x14ac:dyDescent="0.2">
      <c r="A4072">
        <v>736787.66020000004</v>
      </c>
      <c r="B4072">
        <v>-149.597317</v>
      </c>
      <c r="C4072">
        <v>-17.019826999999999</v>
      </c>
      <c r="D4072">
        <v>158.9</v>
      </c>
      <c r="E4072">
        <v>30.2</v>
      </c>
      <c r="F4072">
        <v>9.76</v>
      </c>
    </row>
    <row r="4073" spans="1:6" x14ac:dyDescent="0.2">
      <c r="A4073">
        <v>736787.66020000004</v>
      </c>
      <c r="B4073">
        <v>-149.59731600000001</v>
      </c>
      <c r="C4073">
        <v>-17.019818000000001</v>
      </c>
      <c r="D4073">
        <v>158.9</v>
      </c>
      <c r="E4073">
        <v>30.2</v>
      </c>
      <c r="F4073">
        <v>9.76</v>
      </c>
    </row>
    <row r="4074" spans="1:6" x14ac:dyDescent="0.2">
      <c r="A4074">
        <v>736787.66020000004</v>
      </c>
      <c r="B4074">
        <v>-149.59731099999999</v>
      </c>
      <c r="C4074">
        <v>-17.019805000000002</v>
      </c>
      <c r="D4074">
        <v>158.9</v>
      </c>
      <c r="E4074">
        <v>30.2</v>
      </c>
      <c r="F4074">
        <v>9.76</v>
      </c>
    </row>
    <row r="4075" spans="1:6" x14ac:dyDescent="0.2">
      <c r="A4075">
        <v>736787.66029999999</v>
      </c>
      <c r="B4075">
        <v>-149.597308</v>
      </c>
      <c r="C4075">
        <v>-17.019794000000001</v>
      </c>
      <c r="D4075">
        <v>159.22559972480599</v>
      </c>
      <c r="E4075">
        <v>30.2</v>
      </c>
      <c r="F4075">
        <v>9.7691999847114204</v>
      </c>
    </row>
    <row r="4076" spans="1:6" x14ac:dyDescent="0.2">
      <c r="A4076">
        <v>736787.66029999999</v>
      </c>
      <c r="B4076">
        <v>-149.59729999999999</v>
      </c>
      <c r="C4076">
        <v>-17.019783</v>
      </c>
      <c r="D4076">
        <v>159.22559972480599</v>
      </c>
      <c r="E4076">
        <v>30.2</v>
      </c>
      <c r="F4076">
        <v>9.7691999847114204</v>
      </c>
    </row>
    <row r="4077" spans="1:6" x14ac:dyDescent="0.2">
      <c r="A4077">
        <v>736787.66029999999</v>
      </c>
      <c r="B4077">
        <v>-149.59728699999999</v>
      </c>
      <c r="C4077">
        <v>-17.019766000000001</v>
      </c>
      <c r="D4077">
        <v>159.22559972480599</v>
      </c>
      <c r="E4077">
        <v>30.2</v>
      </c>
      <c r="F4077">
        <v>9.7691999847114204</v>
      </c>
    </row>
    <row r="4078" spans="1:6" x14ac:dyDescent="0.2">
      <c r="A4078">
        <v>736787.66029999999</v>
      </c>
      <c r="B4078">
        <v>-149.59727799999999</v>
      </c>
      <c r="C4078">
        <v>-17.019753000000001</v>
      </c>
      <c r="D4078">
        <v>159.22559972480599</v>
      </c>
      <c r="E4078">
        <v>30.2</v>
      </c>
      <c r="F4078">
        <v>9.7691999847114204</v>
      </c>
    </row>
    <row r="4079" spans="1:6" x14ac:dyDescent="0.2">
      <c r="A4079">
        <v>736787.66029999999</v>
      </c>
      <c r="B4079">
        <v>-149.597274</v>
      </c>
      <c r="C4079">
        <v>-17.019741</v>
      </c>
      <c r="D4079">
        <v>159.22559972480599</v>
      </c>
      <c r="E4079">
        <v>30.2</v>
      </c>
      <c r="F4079">
        <v>9.7691999847114204</v>
      </c>
    </row>
    <row r="4080" spans="1:6" x14ac:dyDescent="0.2">
      <c r="A4080">
        <v>736787.66029999999</v>
      </c>
      <c r="B4080">
        <v>-149.59726900000001</v>
      </c>
      <c r="C4080">
        <v>-17.019731</v>
      </c>
      <c r="D4080">
        <v>159.22559972480599</v>
      </c>
      <c r="E4080">
        <v>30.2</v>
      </c>
      <c r="F4080">
        <v>9.7691999847114204</v>
      </c>
    </row>
    <row r="4081" spans="1:6" x14ac:dyDescent="0.2">
      <c r="A4081">
        <v>736787.66029999999</v>
      </c>
      <c r="B4081">
        <v>-149.597263</v>
      </c>
      <c r="C4081">
        <v>-17.019718999999998</v>
      </c>
      <c r="D4081">
        <v>159.22559972480599</v>
      </c>
      <c r="E4081">
        <v>30.2</v>
      </c>
      <c r="F4081">
        <v>9.7691999847114204</v>
      </c>
    </row>
    <row r="4082" spans="1:6" x14ac:dyDescent="0.2">
      <c r="A4082">
        <v>736787.66029999999</v>
      </c>
      <c r="B4082">
        <v>-149.59725499999999</v>
      </c>
      <c r="C4082">
        <v>-17.019704999999998</v>
      </c>
      <c r="D4082">
        <v>159.22559972480599</v>
      </c>
      <c r="E4082">
        <v>30.2</v>
      </c>
      <c r="F4082">
        <v>9.7691999847114204</v>
      </c>
    </row>
    <row r="4083" spans="1:6" x14ac:dyDescent="0.2">
      <c r="A4083">
        <v>736787.66040000005</v>
      </c>
      <c r="B4083">
        <v>-149.597252</v>
      </c>
      <c r="C4083">
        <v>-17.019694999999999</v>
      </c>
      <c r="D4083">
        <v>159.66240034761401</v>
      </c>
      <c r="E4083">
        <v>30.2</v>
      </c>
      <c r="F4083">
        <v>9.7962400347614107</v>
      </c>
    </row>
    <row r="4084" spans="1:6" x14ac:dyDescent="0.2">
      <c r="A4084">
        <v>736787.66040000005</v>
      </c>
      <c r="B4084">
        <v>-149.59724600000001</v>
      </c>
      <c r="C4084">
        <v>-17.019684000000002</v>
      </c>
      <c r="D4084">
        <v>159.66240034761401</v>
      </c>
      <c r="E4084">
        <v>30.2</v>
      </c>
      <c r="F4084">
        <v>9.7962400347614107</v>
      </c>
    </row>
    <row r="4085" spans="1:6" x14ac:dyDescent="0.2">
      <c r="A4085">
        <v>736787.66040000005</v>
      </c>
      <c r="B4085">
        <v>-149.59724499999999</v>
      </c>
      <c r="C4085">
        <v>-17.019672</v>
      </c>
      <c r="D4085">
        <v>159.66240034761401</v>
      </c>
      <c r="E4085">
        <v>30.2</v>
      </c>
      <c r="F4085">
        <v>9.7962400347614107</v>
      </c>
    </row>
    <row r="4086" spans="1:6" x14ac:dyDescent="0.2">
      <c r="A4086">
        <v>736787.66040000005</v>
      </c>
      <c r="B4086">
        <v>-149.59724399999999</v>
      </c>
      <c r="C4086">
        <v>-17.019658</v>
      </c>
      <c r="D4086">
        <v>159.66240034761401</v>
      </c>
      <c r="E4086">
        <v>30.2</v>
      </c>
      <c r="F4086">
        <v>9.7962400347614107</v>
      </c>
    </row>
    <row r="4087" spans="1:6" x14ac:dyDescent="0.2">
      <c r="A4087">
        <v>736787.66040000005</v>
      </c>
      <c r="B4087">
        <v>-149.59724299999999</v>
      </c>
      <c r="C4087">
        <v>-17.019644</v>
      </c>
      <c r="D4087">
        <v>159.66240034761401</v>
      </c>
      <c r="E4087">
        <v>30.2</v>
      </c>
      <c r="F4087">
        <v>9.7962400347614107</v>
      </c>
    </row>
    <row r="4088" spans="1:6" x14ac:dyDescent="0.2">
      <c r="A4088">
        <v>736787.66040000005</v>
      </c>
      <c r="B4088">
        <v>-149.59724700000001</v>
      </c>
      <c r="C4088">
        <v>-17.019629999999999</v>
      </c>
      <c r="D4088">
        <v>159.66240034761401</v>
      </c>
      <c r="E4088">
        <v>30.2</v>
      </c>
      <c r="F4088">
        <v>9.7962400347614107</v>
      </c>
    </row>
    <row r="4089" spans="1:6" x14ac:dyDescent="0.2">
      <c r="A4089">
        <v>736787.66040000005</v>
      </c>
      <c r="B4089">
        <v>-149.59724700000001</v>
      </c>
      <c r="C4089">
        <v>-17.019618000000001</v>
      </c>
      <c r="D4089">
        <v>159.66240034761401</v>
      </c>
      <c r="E4089">
        <v>30.2</v>
      </c>
      <c r="F4089">
        <v>9.7962400347614107</v>
      </c>
    </row>
    <row r="4090" spans="1:6" x14ac:dyDescent="0.2">
      <c r="A4090">
        <v>736787.66040000005</v>
      </c>
      <c r="B4090">
        <v>-149.59725</v>
      </c>
      <c r="C4090">
        <v>-17.019606</v>
      </c>
      <c r="D4090">
        <v>159.66240034761401</v>
      </c>
      <c r="E4090">
        <v>30.2</v>
      </c>
      <c r="F4090">
        <v>9.7962400347614107</v>
      </c>
    </row>
    <row r="4091" spans="1:6" x14ac:dyDescent="0.2">
      <c r="A4091">
        <v>736787.6605</v>
      </c>
      <c r="B4091">
        <v>-149.597252</v>
      </c>
      <c r="C4091">
        <v>-17.019594000000001</v>
      </c>
      <c r="D4091">
        <v>159.99600002413999</v>
      </c>
      <c r="E4091">
        <v>30.2</v>
      </c>
      <c r="F4091">
        <v>9.82</v>
      </c>
    </row>
    <row r="4092" spans="1:6" x14ac:dyDescent="0.2">
      <c r="A4092">
        <v>736787.6605</v>
      </c>
      <c r="B4092">
        <v>-149.597251</v>
      </c>
      <c r="C4092">
        <v>-17.019583000000001</v>
      </c>
      <c r="D4092">
        <v>159.99600002413999</v>
      </c>
      <c r="E4092">
        <v>30.2</v>
      </c>
      <c r="F4092">
        <v>9.82</v>
      </c>
    </row>
    <row r="4093" spans="1:6" x14ac:dyDescent="0.2">
      <c r="A4093">
        <v>736787.6605</v>
      </c>
      <c r="B4093">
        <v>-149.59724900000001</v>
      </c>
      <c r="C4093">
        <v>-17.019573000000001</v>
      </c>
      <c r="D4093">
        <v>159.99600002413999</v>
      </c>
      <c r="E4093">
        <v>30.2</v>
      </c>
      <c r="F4093">
        <v>9.82</v>
      </c>
    </row>
    <row r="4094" spans="1:6" x14ac:dyDescent="0.2">
      <c r="A4094">
        <v>736787.6605</v>
      </c>
      <c r="B4094">
        <v>-149.59724499999999</v>
      </c>
      <c r="C4094">
        <v>-17.019563999999999</v>
      </c>
      <c r="D4094">
        <v>159.99600002413999</v>
      </c>
      <c r="E4094">
        <v>30.2</v>
      </c>
      <c r="F4094">
        <v>9.82</v>
      </c>
    </row>
    <row r="4095" spans="1:6" x14ac:dyDescent="0.2">
      <c r="A4095">
        <v>736787.6605</v>
      </c>
      <c r="B4095">
        <v>-149.597239</v>
      </c>
      <c r="C4095">
        <v>-17.019549999999999</v>
      </c>
      <c r="D4095">
        <v>159.99600002413999</v>
      </c>
      <c r="E4095">
        <v>30.2</v>
      </c>
      <c r="F4095">
        <v>9.82</v>
      </c>
    </row>
    <row r="4096" spans="1:6" x14ac:dyDescent="0.2">
      <c r="A4096">
        <v>736787.6605</v>
      </c>
      <c r="B4096">
        <v>-149.59723</v>
      </c>
      <c r="C4096">
        <v>-17.019542000000001</v>
      </c>
      <c r="D4096">
        <v>159.99600002413999</v>
      </c>
      <c r="E4096">
        <v>30.2</v>
      </c>
      <c r="F4096">
        <v>9.82</v>
      </c>
    </row>
    <row r="4097" spans="1:6" x14ac:dyDescent="0.2">
      <c r="A4097">
        <v>736787.66059999994</v>
      </c>
      <c r="B4097">
        <v>-149.59722099999999</v>
      </c>
      <c r="C4097">
        <v>-17.019527</v>
      </c>
      <c r="D4097">
        <v>159.43920040555099</v>
      </c>
      <c r="E4097">
        <v>30.123200067591799</v>
      </c>
      <c r="F4097">
        <v>9.7969600202775293</v>
      </c>
    </row>
    <row r="4098" spans="1:6" x14ac:dyDescent="0.2">
      <c r="A4098">
        <v>736787.66059999994</v>
      </c>
      <c r="B4098">
        <v>-149.597217</v>
      </c>
      <c r="C4098">
        <v>-17.019517</v>
      </c>
      <c r="D4098">
        <v>159.43920040555099</v>
      </c>
      <c r="E4098">
        <v>30.123200067591799</v>
      </c>
      <c r="F4098">
        <v>9.7969600202775293</v>
      </c>
    </row>
    <row r="4099" spans="1:6" x14ac:dyDescent="0.2">
      <c r="A4099">
        <v>736787.66059999994</v>
      </c>
      <c r="B4099">
        <v>-149.59721500000001</v>
      </c>
      <c r="C4099">
        <v>-17.019507000000001</v>
      </c>
      <c r="D4099">
        <v>159.43920040555099</v>
      </c>
      <c r="E4099">
        <v>30.123200067591799</v>
      </c>
      <c r="F4099">
        <v>9.7969600202775293</v>
      </c>
    </row>
    <row r="4100" spans="1:6" x14ac:dyDescent="0.2">
      <c r="A4100">
        <v>736787.66059999994</v>
      </c>
      <c r="B4100">
        <v>-149.59721300000001</v>
      </c>
      <c r="C4100">
        <v>-17.019494000000002</v>
      </c>
      <c r="D4100">
        <v>159.43920040555099</v>
      </c>
      <c r="E4100">
        <v>30.123200067591799</v>
      </c>
      <c r="F4100">
        <v>9.7969600202775293</v>
      </c>
    </row>
    <row r="4101" spans="1:6" x14ac:dyDescent="0.2">
      <c r="A4101">
        <v>736787.66059999994</v>
      </c>
      <c r="B4101">
        <v>-149.597205</v>
      </c>
      <c r="C4101">
        <v>-17.019476000000001</v>
      </c>
      <c r="D4101">
        <v>159.43920040555099</v>
      </c>
      <c r="E4101">
        <v>30.123200067591799</v>
      </c>
      <c r="F4101">
        <v>9.7969600202775293</v>
      </c>
    </row>
    <row r="4102" spans="1:6" x14ac:dyDescent="0.2">
      <c r="A4102">
        <v>736787.66059999994</v>
      </c>
      <c r="B4102">
        <v>-149.59720300000001</v>
      </c>
      <c r="C4102">
        <v>-17.019463999999999</v>
      </c>
      <c r="D4102">
        <v>159.43920040555099</v>
      </c>
      <c r="E4102">
        <v>30.123200067591799</v>
      </c>
      <c r="F4102">
        <v>9.7969600202775293</v>
      </c>
    </row>
    <row r="4103" spans="1:6" x14ac:dyDescent="0.2">
      <c r="A4103">
        <v>736787.66059999994</v>
      </c>
      <c r="B4103">
        <v>-149.59719799999999</v>
      </c>
      <c r="C4103">
        <v>-17.019449000000002</v>
      </c>
      <c r="D4103">
        <v>159.43920040555099</v>
      </c>
      <c r="E4103">
        <v>30.123200067591799</v>
      </c>
      <c r="F4103">
        <v>9.7969600202775293</v>
      </c>
    </row>
    <row r="4104" spans="1:6" x14ac:dyDescent="0.2">
      <c r="A4104">
        <v>736787.66070000001</v>
      </c>
      <c r="B4104">
        <v>-149.597193</v>
      </c>
      <c r="C4104">
        <v>-17.019435000000001</v>
      </c>
      <c r="D4104">
        <v>157.30400017702601</v>
      </c>
      <c r="E4104">
        <v>30.1</v>
      </c>
      <c r="F4104">
        <v>9.6702400106215407</v>
      </c>
    </row>
    <row r="4105" spans="1:6" x14ac:dyDescent="0.2">
      <c r="A4105">
        <v>736787.66070000001</v>
      </c>
      <c r="B4105">
        <v>-149.59718799999999</v>
      </c>
      <c r="C4105">
        <v>-17.019424000000001</v>
      </c>
      <c r="D4105">
        <v>157.30400017702601</v>
      </c>
      <c r="E4105">
        <v>30.1</v>
      </c>
      <c r="F4105">
        <v>9.6702400106215407</v>
      </c>
    </row>
    <row r="4106" spans="1:6" x14ac:dyDescent="0.2">
      <c r="A4106">
        <v>736787.66070000001</v>
      </c>
      <c r="B4106">
        <v>-149.59718699999999</v>
      </c>
      <c r="C4106">
        <v>-17.019404999999999</v>
      </c>
      <c r="D4106">
        <v>157.30400017702601</v>
      </c>
      <c r="E4106">
        <v>30.1</v>
      </c>
      <c r="F4106">
        <v>9.6702400106215407</v>
      </c>
    </row>
    <row r="4107" spans="1:6" x14ac:dyDescent="0.2">
      <c r="A4107">
        <v>736787.66079999995</v>
      </c>
      <c r="B4107">
        <v>-149.59717800000001</v>
      </c>
      <c r="C4107">
        <v>-17.019376000000001</v>
      </c>
      <c r="D4107">
        <v>156.80000000000001</v>
      </c>
      <c r="E4107">
        <v>30.1</v>
      </c>
      <c r="F4107">
        <v>9.6300000000000008</v>
      </c>
    </row>
    <row r="4108" spans="1:6" x14ac:dyDescent="0.2">
      <c r="A4108">
        <v>736787.66079999995</v>
      </c>
      <c r="B4108">
        <v>-149.59717900000001</v>
      </c>
      <c r="C4108">
        <v>-17.019359999999999</v>
      </c>
      <c r="D4108">
        <v>156.80000000000001</v>
      </c>
      <c r="E4108">
        <v>30.1</v>
      </c>
      <c r="F4108">
        <v>9.6300000000000008</v>
      </c>
    </row>
    <row r="4109" spans="1:6" x14ac:dyDescent="0.2">
      <c r="A4109">
        <v>736787.66079999995</v>
      </c>
      <c r="B4109">
        <v>-149.59717800000001</v>
      </c>
      <c r="C4109">
        <v>-17.019347</v>
      </c>
      <c r="D4109">
        <v>156.80000000000001</v>
      </c>
      <c r="E4109">
        <v>30.1</v>
      </c>
      <c r="F4109">
        <v>9.6300000000000008</v>
      </c>
    </row>
    <row r="4110" spans="1:6" x14ac:dyDescent="0.2">
      <c r="A4110">
        <v>736787.66079999995</v>
      </c>
      <c r="B4110">
        <v>-149.597174</v>
      </c>
      <c r="C4110">
        <v>-17.019334000000001</v>
      </c>
      <c r="D4110">
        <v>156.80000000000001</v>
      </c>
      <c r="E4110">
        <v>30.1</v>
      </c>
      <c r="F4110">
        <v>9.6300000000000008</v>
      </c>
    </row>
    <row r="4111" spans="1:6" x14ac:dyDescent="0.2">
      <c r="A4111">
        <v>736787.66079999995</v>
      </c>
      <c r="B4111">
        <v>-149.59717499999999</v>
      </c>
      <c r="C4111">
        <v>-17.019323</v>
      </c>
      <c r="D4111">
        <v>156.80000000000001</v>
      </c>
      <c r="E4111">
        <v>30.1</v>
      </c>
      <c r="F4111">
        <v>9.6300000000000008</v>
      </c>
    </row>
    <row r="4112" spans="1:6" x14ac:dyDescent="0.2">
      <c r="A4112">
        <v>736787.66079999995</v>
      </c>
      <c r="B4112">
        <v>-149.59717599999999</v>
      </c>
      <c r="C4112">
        <v>-17.019311999999999</v>
      </c>
      <c r="D4112">
        <v>156.80000000000001</v>
      </c>
      <c r="E4112">
        <v>30.1</v>
      </c>
      <c r="F4112">
        <v>9.6300000000000008</v>
      </c>
    </row>
    <row r="4113" spans="1:6" x14ac:dyDescent="0.2">
      <c r="A4113">
        <v>736787.66079999995</v>
      </c>
      <c r="B4113">
        <v>-149.59717599999999</v>
      </c>
      <c r="C4113">
        <v>-17.019300000000001</v>
      </c>
      <c r="D4113">
        <v>156.80000000000001</v>
      </c>
      <c r="E4113">
        <v>30.1</v>
      </c>
      <c r="F4113">
        <v>9.6300000000000008</v>
      </c>
    </row>
    <row r="4114" spans="1:6" x14ac:dyDescent="0.2">
      <c r="A4114">
        <v>736787.66079999995</v>
      </c>
      <c r="B4114">
        <v>-149.59717699999999</v>
      </c>
      <c r="C4114">
        <v>-17.019290000000002</v>
      </c>
      <c r="D4114">
        <v>156.80000000000001</v>
      </c>
      <c r="E4114">
        <v>30.1</v>
      </c>
      <c r="F4114">
        <v>9.6300000000000008</v>
      </c>
    </row>
    <row r="4115" spans="1:6" x14ac:dyDescent="0.2">
      <c r="A4115">
        <v>736787.66090000002</v>
      </c>
      <c r="B4115">
        <v>-149.59717699999999</v>
      </c>
      <c r="C4115">
        <v>-17.019276000000001</v>
      </c>
      <c r="D4115">
        <v>156.80000000000001</v>
      </c>
      <c r="E4115">
        <v>30.1</v>
      </c>
      <c r="F4115">
        <v>9.6395199988734692</v>
      </c>
    </row>
    <row r="4116" spans="1:6" x14ac:dyDescent="0.2">
      <c r="A4116">
        <v>736787.66090000002</v>
      </c>
      <c r="B4116">
        <v>-149.59717800000001</v>
      </c>
      <c r="C4116">
        <v>-17.019261</v>
      </c>
      <c r="D4116">
        <v>156.80000000000001</v>
      </c>
      <c r="E4116">
        <v>30.1</v>
      </c>
      <c r="F4116">
        <v>9.6395199988734692</v>
      </c>
    </row>
    <row r="4117" spans="1:6" x14ac:dyDescent="0.2">
      <c r="A4117">
        <v>736787.66090000002</v>
      </c>
      <c r="B4117">
        <v>-149.59718100000001</v>
      </c>
      <c r="C4117">
        <v>-17.019245999999999</v>
      </c>
      <c r="D4117">
        <v>156.80000000000001</v>
      </c>
      <c r="E4117">
        <v>30.1</v>
      </c>
      <c r="F4117">
        <v>9.6395199988734692</v>
      </c>
    </row>
    <row r="4118" spans="1:6" x14ac:dyDescent="0.2">
      <c r="A4118">
        <v>736787.66090000002</v>
      </c>
      <c r="B4118">
        <v>-149.597182</v>
      </c>
      <c r="C4118">
        <v>-17.019235999999999</v>
      </c>
      <c r="D4118">
        <v>156.80000000000001</v>
      </c>
      <c r="E4118">
        <v>30.1</v>
      </c>
      <c r="F4118">
        <v>9.6395199988734692</v>
      </c>
    </row>
    <row r="4119" spans="1:6" x14ac:dyDescent="0.2">
      <c r="A4119">
        <v>736787.66090000002</v>
      </c>
      <c r="B4119">
        <v>-149.597182</v>
      </c>
      <c r="C4119">
        <v>-17.019221000000002</v>
      </c>
      <c r="D4119">
        <v>156.80000000000001</v>
      </c>
      <c r="E4119">
        <v>30.1</v>
      </c>
      <c r="F4119">
        <v>9.6395199988734692</v>
      </c>
    </row>
    <row r="4120" spans="1:6" x14ac:dyDescent="0.2">
      <c r="A4120">
        <v>736787.66099999996</v>
      </c>
      <c r="B4120">
        <v>-149.597183</v>
      </c>
      <c r="C4120">
        <v>-17.019209</v>
      </c>
      <c r="D4120">
        <v>156.46000004023301</v>
      </c>
      <c r="E4120">
        <v>30.1</v>
      </c>
      <c r="F4120">
        <v>9.6196000024139892</v>
      </c>
    </row>
    <row r="4121" spans="1:6" x14ac:dyDescent="0.2">
      <c r="A4121">
        <v>736787.66099999996</v>
      </c>
      <c r="B4121">
        <v>-149.597184</v>
      </c>
      <c r="C4121">
        <v>-17.019197999999999</v>
      </c>
      <c r="D4121">
        <v>156.46000004023301</v>
      </c>
      <c r="E4121">
        <v>30.1</v>
      </c>
      <c r="F4121">
        <v>9.6196000024139892</v>
      </c>
    </row>
    <row r="4122" spans="1:6" x14ac:dyDescent="0.2">
      <c r="A4122">
        <v>736787.66099999996</v>
      </c>
      <c r="B4122">
        <v>-149.59718899999999</v>
      </c>
      <c r="C4122">
        <v>-17.019189000000001</v>
      </c>
      <c r="D4122">
        <v>156.46000004023301</v>
      </c>
      <c r="E4122">
        <v>30.1</v>
      </c>
      <c r="F4122">
        <v>9.6196000024139892</v>
      </c>
    </row>
    <row r="4123" spans="1:6" x14ac:dyDescent="0.2">
      <c r="A4123">
        <v>736787.66099999996</v>
      </c>
      <c r="B4123">
        <v>-149.59719000000001</v>
      </c>
      <c r="C4123">
        <v>-17.019179000000001</v>
      </c>
      <c r="D4123">
        <v>156.46000004023301</v>
      </c>
      <c r="E4123">
        <v>30.1</v>
      </c>
      <c r="F4123">
        <v>9.6196000024139892</v>
      </c>
    </row>
    <row r="4124" spans="1:6" x14ac:dyDescent="0.2">
      <c r="A4124">
        <v>736787.66099999996</v>
      </c>
      <c r="B4124">
        <v>-149.597193</v>
      </c>
      <c r="C4124">
        <v>-17.019168000000001</v>
      </c>
      <c r="D4124">
        <v>156.46000004023301</v>
      </c>
      <c r="E4124">
        <v>30.1</v>
      </c>
      <c r="F4124">
        <v>9.6196000024139892</v>
      </c>
    </row>
    <row r="4125" spans="1:6" x14ac:dyDescent="0.2">
      <c r="A4125">
        <v>736787.66099999996</v>
      </c>
      <c r="B4125">
        <v>-149.59719699999999</v>
      </c>
      <c r="C4125">
        <v>-17.019155000000001</v>
      </c>
      <c r="D4125">
        <v>156.46000004023301</v>
      </c>
      <c r="E4125">
        <v>30.1</v>
      </c>
      <c r="F4125">
        <v>9.6196000024139892</v>
      </c>
    </row>
    <row r="4126" spans="1:6" x14ac:dyDescent="0.2">
      <c r="A4126">
        <v>736787.66099999996</v>
      </c>
      <c r="B4126">
        <v>-149.59719899999999</v>
      </c>
      <c r="C4126">
        <v>-17.019141000000001</v>
      </c>
      <c r="D4126">
        <v>156.46000004023301</v>
      </c>
      <c r="E4126">
        <v>30.1</v>
      </c>
      <c r="F4126">
        <v>9.6196000024139892</v>
      </c>
    </row>
    <row r="4127" spans="1:6" x14ac:dyDescent="0.2">
      <c r="A4127">
        <v>736787.66110000003</v>
      </c>
      <c r="B4127">
        <v>-149.59720100000001</v>
      </c>
      <c r="C4127">
        <v>-17.019131999999999</v>
      </c>
      <c r="D4127">
        <v>157.1</v>
      </c>
      <c r="E4127">
        <v>30.159200004828001</v>
      </c>
      <c r="F4127">
        <v>9.6540799995172009</v>
      </c>
    </row>
    <row r="4128" spans="1:6" x14ac:dyDescent="0.2">
      <c r="A4128">
        <v>736787.66110000003</v>
      </c>
      <c r="B4128">
        <v>-149.59720200000001</v>
      </c>
      <c r="C4128">
        <v>-17.019116</v>
      </c>
      <c r="D4128">
        <v>157.1</v>
      </c>
      <c r="E4128">
        <v>30.159200004828001</v>
      </c>
      <c r="F4128">
        <v>9.6540799995172009</v>
      </c>
    </row>
    <row r="4129" spans="1:6" x14ac:dyDescent="0.2">
      <c r="A4129">
        <v>736787.66110000003</v>
      </c>
      <c r="B4129">
        <v>-149.597206</v>
      </c>
      <c r="C4129">
        <v>-17.019100000000002</v>
      </c>
      <c r="D4129">
        <v>157.1</v>
      </c>
      <c r="E4129">
        <v>30.159200004828001</v>
      </c>
      <c r="F4129">
        <v>9.6540799995172009</v>
      </c>
    </row>
    <row r="4130" spans="1:6" x14ac:dyDescent="0.2">
      <c r="A4130">
        <v>736787.66110000003</v>
      </c>
      <c r="B4130">
        <v>-149.59720999999999</v>
      </c>
      <c r="C4130">
        <v>-17.019091</v>
      </c>
      <c r="D4130">
        <v>157.1</v>
      </c>
      <c r="E4130">
        <v>30.159200004828001</v>
      </c>
      <c r="F4130">
        <v>9.6540799995172009</v>
      </c>
    </row>
    <row r="4131" spans="1:6" x14ac:dyDescent="0.2">
      <c r="A4131">
        <v>736787.66110000003</v>
      </c>
      <c r="B4131">
        <v>-149.59720899999999</v>
      </c>
      <c r="C4131">
        <v>-17.019079000000001</v>
      </c>
      <c r="D4131">
        <v>157.1</v>
      </c>
      <c r="E4131">
        <v>30.159200004828001</v>
      </c>
      <c r="F4131">
        <v>9.6540799995172009</v>
      </c>
    </row>
    <row r="4132" spans="1:6" x14ac:dyDescent="0.2">
      <c r="A4132">
        <v>736787.66110000003</v>
      </c>
      <c r="B4132">
        <v>-149.59721300000001</v>
      </c>
      <c r="C4132">
        <v>-17.019067</v>
      </c>
      <c r="D4132">
        <v>157.1</v>
      </c>
      <c r="E4132">
        <v>30.159200004828001</v>
      </c>
      <c r="F4132">
        <v>9.6540799995172009</v>
      </c>
    </row>
    <row r="4133" spans="1:6" x14ac:dyDescent="0.2">
      <c r="A4133">
        <v>736787.66110000003</v>
      </c>
      <c r="B4133">
        <v>-149.597219</v>
      </c>
      <c r="C4133">
        <v>-17.019055000000002</v>
      </c>
      <c r="D4133">
        <v>157.1</v>
      </c>
      <c r="E4133">
        <v>30.159200004828001</v>
      </c>
      <c r="F4133">
        <v>9.6540799995172009</v>
      </c>
    </row>
    <row r="4134" spans="1:6" x14ac:dyDescent="0.2">
      <c r="A4134">
        <v>736787.66110000003</v>
      </c>
      <c r="B4134">
        <v>-149.59722099999999</v>
      </c>
      <c r="C4134">
        <v>-17.019041999999999</v>
      </c>
      <c r="D4134">
        <v>157.1</v>
      </c>
      <c r="E4134">
        <v>30.159200004828001</v>
      </c>
      <c r="F4134">
        <v>9.6540799995172009</v>
      </c>
    </row>
    <row r="4135" spans="1:6" x14ac:dyDescent="0.2">
      <c r="A4135">
        <v>736787.66119999997</v>
      </c>
      <c r="B4135">
        <v>-149.597228</v>
      </c>
      <c r="C4135">
        <v>-17.019024999999999</v>
      </c>
      <c r="D4135">
        <v>156.509600022531</v>
      </c>
      <c r="E4135">
        <v>30.1</v>
      </c>
      <c r="F4135">
        <v>9.6191200012874596</v>
      </c>
    </row>
    <row r="4136" spans="1:6" x14ac:dyDescent="0.2">
      <c r="A4136">
        <v>736787.66119999997</v>
      </c>
      <c r="B4136">
        <v>-149.59723099999999</v>
      </c>
      <c r="C4136">
        <v>-17.019012</v>
      </c>
      <c r="D4136">
        <v>156.509600022531</v>
      </c>
      <c r="E4136">
        <v>30.1</v>
      </c>
      <c r="F4136">
        <v>9.6191200012874596</v>
      </c>
    </row>
    <row r="4137" spans="1:6" x14ac:dyDescent="0.2">
      <c r="A4137">
        <v>736787.66119999997</v>
      </c>
      <c r="B4137">
        <v>-149.59723500000001</v>
      </c>
      <c r="C4137">
        <v>-17.018996999999999</v>
      </c>
      <c r="D4137">
        <v>156.509600022531</v>
      </c>
      <c r="E4137">
        <v>30.1</v>
      </c>
      <c r="F4137">
        <v>9.6191200012874596</v>
      </c>
    </row>
    <row r="4138" spans="1:6" x14ac:dyDescent="0.2">
      <c r="A4138">
        <v>736787.66119999997</v>
      </c>
      <c r="B4138">
        <v>-149.59723299999999</v>
      </c>
      <c r="C4138">
        <v>-17.018986000000002</v>
      </c>
      <c r="D4138">
        <v>156.509600022531</v>
      </c>
      <c r="E4138">
        <v>30.1</v>
      </c>
      <c r="F4138">
        <v>9.6191200012874596</v>
      </c>
    </row>
    <row r="4139" spans="1:6" x14ac:dyDescent="0.2">
      <c r="A4139">
        <v>736787.66119999997</v>
      </c>
      <c r="B4139">
        <v>-149.597238</v>
      </c>
      <c r="C4139">
        <v>-17.018975000000001</v>
      </c>
      <c r="D4139">
        <v>156.509600022531</v>
      </c>
      <c r="E4139">
        <v>30.1</v>
      </c>
      <c r="F4139">
        <v>9.6191200012874596</v>
      </c>
    </row>
    <row r="4140" spans="1:6" x14ac:dyDescent="0.2">
      <c r="A4140">
        <v>736787.66119999997</v>
      </c>
      <c r="B4140">
        <v>-149.597241</v>
      </c>
      <c r="C4140">
        <v>-17.018961000000001</v>
      </c>
      <c r="D4140">
        <v>156.509600022531</v>
      </c>
      <c r="E4140">
        <v>30.1</v>
      </c>
      <c r="F4140">
        <v>9.6191200012874596</v>
      </c>
    </row>
    <row r="4141" spans="1:6" x14ac:dyDescent="0.2">
      <c r="A4141">
        <v>736787.66119999997</v>
      </c>
      <c r="B4141">
        <v>-149.597241</v>
      </c>
      <c r="C4141">
        <v>-17.018944000000001</v>
      </c>
      <c r="D4141">
        <v>156.509600022531</v>
      </c>
      <c r="E4141">
        <v>30.1</v>
      </c>
      <c r="F4141">
        <v>9.6191200012874596</v>
      </c>
    </row>
    <row r="4142" spans="1:6" x14ac:dyDescent="0.2">
      <c r="A4142">
        <v>736787.66130000004</v>
      </c>
      <c r="B4142">
        <v>-149.59723500000001</v>
      </c>
      <c r="C4142">
        <v>-17.018929</v>
      </c>
      <c r="D4142">
        <v>155.30000000000001</v>
      </c>
      <c r="E4142">
        <v>30.1</v>
      </c>
      <c r="F4142">
        <v>9.5586400001609295</v>
      </c>
    </row>
    <row r="4143" spans="1:6" x14ac:dyDescent="0.2">
      <c r="A4143">
        <v>736787.66130000004</v>
      </c>
      <c r="B4143">
        <v>-149.59723199999999</v>
      </c>
      <c r="C4143">
        <v>-17.018917999999999</v>
      </c>
      <c r="D4143">
        <v>155.30000000000001</v>
      </c>
      <c r="E4143">
        <v>30.1</v>
      </c>
      <c r="F4143">
        <v>9.5586400001609295</v>
      </c>
    </row>
    <row r="4144" spans="1:6" x14ac:dyDescent="0.2">
      <c r="A4144">
        <v>736787.66130000004</v>
      </c>
      <c r="B4144">
        <v>-149.59722400000001</v>
      </c>
      <c r="C4144">
        <v>-17.018905</v>
      </c>
      <c r="D4144">
        <v>155.30000000000001</v>
      </c>
      <c r="E4144">
        <v>30.1</v>
      </c>
      <c r="F4144">
        <v>9.5586400001609295</v>
      </c>
    </row>
    <row r="4145" spans="1:6" x14ac:dyDescent="0.2">
      <c r="A4145">
        <v>736787.66130000004</v>
      </c>
      <c r="B4145">
        <v>-149.597219</v>
      </c>
      <c r="C4145">
        <v>-17.018886999999999</v>
      </c>
      <c r="D4145">
        <v>155.30000000000001</v>
      </c>
      <c r="E4145">
        <v>30.1</v>
      </c>
      <c r="F4145">
        <v>9.5586400001609295</v>
      </c>
    </row>
    <row r="4146" spans="1:6" x14ac:dyDescent="0.2">
      <c r="A4146">
        <v>736787.66130000004</v>
      </c>
      <c r="B4146">
        <v>-149.59721200000001</v>
      </c>
      <c r="C4146">
        <v>-17.018872000000002</v>
      </c>
      <c r="D4146">
        <v>155.30000000000001</v>
      </c>
      <c r="E4146">
        <v>30.1</v>
      </c>
      <c r="F4146">
        <v>9.5586400001609295</v>
      </c>
    </row>
    <row r="4147" spans="1:6" x14ac:dyDescent="0.2">
      <c r="A4147">
        <v>736787.66130000004</v>
      </c>
      <c r="B4147">
        <v>-149.597207</v>
      </c>
      <c r="C4147">
        <v>-17.018861000000001</v>
      </c>
      <c r="D4147">
        <v>155.30000000000001</v>
      </c>
      <c r="E4147">
        <v>30.1</v>
      </c>
      <c r="F4147">
        <v>9.5586400001609295</v>
      </c>
    </row>
    <row r="4148" spans="1:6" x14ac:dyDescent="0.2">
      <c r="A4148">
        <v>736787.66130000004</v>
      </c>
      <c r="B4148">
        <v>-149.597204</v>
      </c>
      <c r="C4148">
        <v>-17.018848999999999</v>
      </c>
      <c r="D4148">
        <v>155.30000000000001</v>
      </c>
      <c r="E4148">
        <v>30.1</v>
      </c>
      <c r="F4148">
        <v>9.5586400001609295</v>
      </c>
    </row>
    <row r="4149" spans="1:6" x14ac:dyDescent="0.2">
      <c r="A4149">
        <v>736787.66130000004</v>
      </c>
      <c r="B4149">
        <v>-149.597195</v>
      </c>
      <c r="C4149">
        <v>-17.018837000000001</v>
      </c>
      <c r="D4149">
        <v>155.30000000000001</v>
      </c>
      <c r="E4149">
        <v>30.1</v>
      </c>
      <c r="F4149">
        <v>9.5586400001609295</v>
      </c>
    </row>
    <row r="4150" spans="1:6" x14ac:dyDescent="0.2">
      <c r="A4150">
        <v>736787.66130000004</v>
      </c>
      <c r="B4150">
        <v>-149.597193</v>
      </c>
      <c r="C4150">
        <v>-17.018827000000002</v>
      </c>
      <c r="D4150">
        <v>155.30000000000001</v>
      </c>
      <c r="E4150">
        <v>30.1</v>
      </c>
      <c r="F4150">
        <v>9.5586400001609295</v>
      </c>
    </row>
    <row r="4151" spans="1:6" x14ac:dyDescent="0.2">
      <c r="A4151">
        <v>736787.66139999998</v>
      </c>
      <c r="B4151">
        <v>-149.597185</v>
      </c>
      <c r="C4151">
        <v>-17.018799000000001</v>
      </c>
      <c r="D4151">
        <v>154.91840000965601</v>
      </c>
      <c r="E4151">
        <v>30.1</v>
      </c>
      <c r="F4151">
        <v>9.5299999999999994</v>
      </c>
    </row>
    <row r="4152" spans="1:6" x14ac:dyDescent="0.2">
      <c r="A4152">
        <v>736787.66139999998</v>
      </c>
      <c r="B4152">
        <v>-149.597183</v>
      </c>
      <c r="C4152">
        <v>-17.018781000000001</v>
      </c>
      <c r="D4152">
        <v>154.91840000965601</v>
      </c>
      <c r="E4152">
        <v>30.1</v>
      </c>
      <c r="F4152">
        <v>9.5299999999999994</v>
      </c>
    </row>
    <row r="4153" spans="1:6" x14ac:dyDescent="0.2">
      <c r="A4153">
        <v>736787.66139999998</v>
      </c>
      <c r="B4153">
        <v>-149.59717599999999</v>
      </c>
      <c r="C4153">
        <v>-17.018761000000001</v>
      </c>
      <c r="D4153">
        <v>154.91840000965601</v>
      </c>
      <c r="E4153">
        <v>30.1</v>
      </c>
      <c r="F4153">
        <v>9.5299999999999994</v>
      </c>
    </row>
    <row r="4154" spans="1:6" x14ac:dyDescent="0.2">
      <c r="A4154">
        <v>736787.66139999998</v>
      </c>
      <c r="B4154">
        <v>-149.597174</v>
      </c>
      <c r="C4154">
        <v>-17.018749</v>
      </c>
      <c r="D4154">
        <v>154.91840000965601</v>
      </c>
      <c r="E4154">
        <v>30.1</v>
      </c>
      <c r="F4154">
        <v>9.5299999999999994</v>
      </c>
    </row>
    <row r="4155" spans="1:6" x14ac:dyDescent="0.2">
      <c r="A4155">
        <v>736787.66139999998</v>
      </c>
      <c r="B4155">
        <v>-149.59716399999999</v>
      </c>
      <c r="C4155">
        <v>-17.018739</v>
      </c>
      <c r="D4155">
        <v>154.91840000965601</v>
      </c>
      <c r="E4155">
        <v>30.1</v>
      </c>
      <c r="F4155">
        <v>9.5299999999999994</v>
      </c>
    </row>
    <row r="4156" spans="1:6" x14ac:dyDescent="0.2">
      <c r="A4156">
        <v>736787.66139999998</v>
      </c>
      <c r="B4156">
        <v>-149.59716</v>
      </c>
      <c r="C4156">
        <v>-17.018725</v>
      </c>
      <c r="D4156">
        <v>154.91840000965601</v>
      </c>
      <c r="E4156">
        <v>30.1</v>
      </c>
      <c r="F4156">
        <v>9.5299999999999994</v>
      </c>
    </row>
    <row r="4157" spans="1:6" x14ac:dyDescent="0.2">
      <c r="A4157">
        <v>736787.66139999998</v>
      </c>
      <c r="B4157">
        <v>-149.59715499999999</v>
      </c>
      <c r="C4157">
        <v>-17.018709000000001</v>
      </c>
      <c r="D4157">
        <v>154.91840000965601</v>
      </c>
      <c r="E4157">
        <v>30.1</v>
      </c>
      <c r="F4157">
        <v>9.5299999999999994</v>
      </c>
    </row>
    <row r="4158" spans="1:6" x14ac:dyDescent="0.2">
      <c r="A4158">
        <v>736787.66139999998</v>
      </c>
      <c r="B4158">
        <v>-149.597149</v>
      </c>
      <c r="C4158">
        <v>-17.018694</v>
      </c>
      <c r="D4158">
        <v>154.91840000965601</v>
      </c>
      <c r="E4158">
        <v>30.1</v>
      </c>
      <c r="F4158">
        <v>9.5299999999999994</v>
      </c>
    </row>
    <row r="4159" spans="1:6" x14ac:dyDescent="0.2">
      <c r="A4159">
        <v>736787.66150000005</v>
      </c>
      <c r="B4159">
        <v>-149.59714700000001</v>
      </c>
      <c r="C4159">
        <v>-17.018684</v>
      </c>
      <c r="D4159">
        <v>155.12800028967899</v>
      </c>
      <c r="E4159">
        <v>30.1</v>
      </c>
      <c r="F4159">
        <v>9.5364000144839505</v>
      </c>
    </row>
    <row r="4160" spans="1:6" x14ac:dyDescent="0.2">
      <c r="A4160">
        <v>736787.66150000005</v>
      </c>
      <c r="B4160">
        <v>-149.59714399999999</v>
      </c>
      <c r="C4160">
        <v>-17.018674000000001</v>
      </c>
      <c r="D4160">
        <v>155.12800028967899</v>
      </c>
      <c r="E4160">
        <v>30.1</v>
      </c>
      <c r="F4160">
        <v>9.5364000144839505</v>
      </c>
    </row>
    <row r="4161" spans="1:6" x14ac:dyDescent="0.2">
      <c r="A4161">
        <v>736787.66150000005</v>
      </c>
      <c r="B4161">
        <v>-149.59714399999999</v>
      </c>
      <c r="C4161">
        <v>-17.018664000000001</v>
      </c>
      <c r="D4161">
        <v>155.12800028967899</v>
      </c>
      <c r="E4161">
        <v>30.1</v>
      </c>
      <c r="F4161">
        <v>9.5364000144839505</v>
      </c>
    </row>
    <row r="4162" spans="1:6" x14ac:dyDescent="0.2">
      <c r="A4162">
        <v>736787.66150000005</v>
      </c>
      <c r="B4162">
        <v>-149.597148</v>
      </c>
      <c r="C4162">
        <v>-17.018651999999999</v>
      </c>
      <c r="D4162">
        <v>155.12800028967899</v>
      </c>
      <c r="E4162">
        <v>30.1</v>
      </c>
      <c r="F4162">
        <v>9.5364000144839505</v>
      </c>
    </row>
    <row r="4163" spans="1:6" x14ac:dyDescent="0.2">
      <c r="A4163">
        <v>736787.66150000005</v>
      </c>
      <c r="B4163">
        <v>-149.59715</v>
      </c>
      <c r="C4163">
        <v>-17.018640000000001</v>
      </c>
      <c r="D4163">
        <v>155.12800028967899</v>
      </c>
      <c r="E4163">
        <v>30.1</v>
      </c>
      <c r="F4163">
        <v>9.5364000144839505</v>
      </c>
    </row>
    <row r="4164" spans="1:6" x14ac:dyDescent="0.2">
      <c r="A4164">
        <v>736787.66150000005</v>
      </c>
      <c r="B4164">
        <v>-149.597151</v>
      </c>
      <c r="C4164">
        <v>-17.018630000000002</v>
      </c>
      <c r="D4164">
        <v>155.12800028967899</v>
      </c>
      <c r="E4164">
        <v>30.1</v>
      </c>
      <c r="F4164">
        <v>9.5364000144839505</v>
      </c>
    </row>
    <row r="4165" spans="1:6" x14ac:dyDescent="0.2">
      <c r="A4165">
        <v>736787.66150000005</v>
      </c>
      <c r="B4165">
        <v>-149.59715199999999</v>
      </c>
      <c r="C4165">
        <v>-17.018616999999999</v>
      </c>
      <c r="D4165">
        <v>155.12800028967899</v>
      </c>
      <c r="E4165">
        <v>30.1</v>
      </c>
      <c r="F4165">
        <v>9.5364000144839505</v>
      </c>
    </row>
    <row r="4166" spans="1:6" x14ac:dyDescent="0.2">
      <c r="A4166">
        <v>736787.66150000005</v>
      </c>
      <c r="B4166">
        <v>-149.59715399999999</v>
      </c>
      <c r="C4166">
        <v>-17.018606999999999</v>
      </c>
      <c r="D4166">
        <v>155.12800028967899</v>
      </c>
      <c r="E4166">
        <v>30.1</v>
      </c>
      <c r="F4166">
        <v>9.5364000144839505</v>
      </c>
    </row>
    <row r="4167" spans="1:6" x14ac:dyDescent="0.2">
      <c r="A4167">
        <v>736787.66159999999</v>
      </c>
      <c r="B4167">
        <v>-149.59715399999999</v>
      </c>
      <c r="C4167">
        <v>-17.018597</v>
      </c>
      <c r="D4167">
        <v>155.41920004506099</v>
      </c>
      <c r="E4167">
        <v>30.1</v>
      </c>
      <c r="F4167">
        <v>9.5514400033795805</v>
      </c>
    </row>
    <row r="4168" spans="1:6" x14ac:dyDescent="0.2">
      <c r="A4168">
        <v>736787.66159999999</v>
      </c>
      <c r="B4168">
        <v>-149.597149</v>
      </c>
      <c r="C4168">
        <v>-17.018578000000002</v>
      </c>
      <c r="D4168">
        <v>155.41920004506099</v>
      </c>
      <c r="E4168">
        <v>30.1</v>
      </c>
      <c r="F4168">
        <v>9.5514400033795805</v>
      </c>
    </row>
    <row r="4169" spans="1:6" x14ac:dyDescent="0.2">
      <c r="A4169">
        <v>736787.66159999999</v>
      </c>
      <c r="B4169">
        <v>-149.59714600000001</v>
      </c>
      <c r="C4169">
        <v>-17.018567000000001</v>
      </c>
      <c r="D4169">
        <v>155.41920004506099</v>
      </c>
      <c r="E4169">
        <v>30.1</v>
      </c>
      <c r="F4169">
        <v>9.5514400033795805</v>
      </c>
    </row>
    <row r="4170" spans="1:6" x14ac:dyDescent="0.2">
      <c r="A4170">
        <v>736787.66159999999</v>
      </c>
      <c r="B4170">
        <v>-149.59714600000001</v>
      </c>
      <c r="C4170">
        <v>-17.018557999999999</v>
      </c>
      <c r="D4170">
        <v>155.41920004506099</v>
      </c>
      <c r="E4170">
        <v>30.1</v>
      </c>
      <c r="F4170">
        <v>9.5514400033795805</v>
      </c>
    </row>
    <row r="4171" spans="1:6" x14ac:dyDescent="0.2">
      <c r="A4171">
        <v>736787.66159999999</v>
      </c>
      <c r="B4171">
        <v>-149.59714700000001</v>
      </c>
      <c r="C4171">
        <v>-17.018547999999999</v>
      </c>
      <c r="D4171">
        <v>155.41920004506099</v>
      </c>
      <c r="E4171">
        <v>30.1</v>
      </c>
      <c r="F4171">
        <v>9.5514400033795805</v>
      </c>
    </row>
    <row r="4172" spans="1:6" x14ac:dyDescent="0.2">
      <c r="A4172">
        <v>736787.66159999999</v>
      </c>
      <c r="B4172">
        <v>-149.59714700000001</v>
      </c>
      <c r="C4172">
        <v>-17.018537999999999</v>
      </c>
      <c r="D4172">
        <v>155.41920004506099</v>
      </c>
      <c r="E4172">
        <v>30.1</v>
      </c>
      <c r="F4172">
        <v>9.5514400033795805</v>
      </c>
    </row>
    <row r="4173" spans="1:6" x14ac:dyDescent="0.2">
      <c r="A4173">
        <v>736787.66159999999</v>
      </c>
      <c r="B4173">
        <v>-149.59715</v>
      </c>
      <c r="C4173">
        <v>-17.018523999999999</v>
      </c>
      <c r="D4173">
        <v>155.41920004506099</v>
      </c>
      <c r="E4173">
        <v>30.1</v>
      </c>
      <c r="F4173">
        <v>9.5514400033795805</v>
      </c>
    </row>
    <row r="4174" spans="1:6" x14ac:dyDescent="0.2">
      <c r="A4174">
        <v>736787.66170000006</v>
      </c>
      <c r="B4174">
        <v>-149.597151</v>
      </c>
      <c r="C4174">
        <v>-17.018511</v>
      </c>
      <c r="D4174">
        <v>155.80000000000001</v>
      </c>
      <c r="E4174">
        <v>30.1</v>
      </c>
      <c r="F4174">
        <v>9.58</v>
      </c>
    </row>
    <row r="4175" spans="1:6" x14ac:dyDescent="0.2">
      <c r="A4175">
        <v>736787.66170000006</v>
      </c>
      <c r="B4175">
        <v>-149.597149</v>
      </c>
      <c r="C4175">
        <v>-17.018501000000001</v>
      </c>
      <c r="D4175">
        <v>155.80000000000001</v>
      </c>
      <c r="E4175">
        <v>30.1</v>
      </c>
      <c r="F4175">
        <v>9.58</v>
      </c>
    </row>
    <row r="4176" spans="1:6" x14ac:dyDescent="0.2">
      <c r="A4176">
        <v>736787.66170000006</v>
      </c>
      <c r="B4176">
        <v>-149.59714399999999</v>
      </c>
      <c r="C4176">
        <v>-17.01849</v>
      </c>
      <c r="D4176">
        <v>155.80000000000001</v>
      </c>
      <c r="E4176">
        <v>30.1</v>
      </c>
      <c r="F4176">
        <v>9.58</v>
      </c>
    </row>
    <row r="4177" spans="1:6" x14ac:dyDescent="0.2">
      <c r="A4177">
        <v>736787.66170000006</v>
      </c>
      <c r="B4177">
        <v>-149.59714199999999</v>
      </c>
      <c r="C4177">
        <v>-17.018478000000002</v>
      </c>
      <c r="D4177">
        <v>155.80000000000001</v>
      </c>
      <c r="E4177">
        <v>30.1</v>
      </c>
      <c r="F4177">
        <v>9.58</v>
      </c>
    </row>
    <row r="4178" spans="1:6" x14ac:dyDescent="0.2">
      <c r="A4178">
        <v>736787.66170000006</v>
      </c>
      <c r="B4178">
        <v>-149.59714099999999</v>
      </c>
      <c r="C4178">
        <v>-17.018469</v>
      </c>
      <c r="D4178">
        <v>155.80000000000001</v>
      </c>
      <c r="E4178">
        <v>30.1</v>
      </c>
      <c r="F4178">
        <v>9.58</v>
      </c>
    </row>
    <row r="4179" spans="1:6" x14ac:dyDescent="0.2">
      <c r="A4179">
        <v>736787.6618</v>
      </c>
      <c r="B4179">
        <v>-149.59714399999999</v>
      </c>
      <c r="C4179">
        <v>-17.018453000000001</v>
      </c>
      <c r="D4179">
        <v>154.44479976986699</v>
      </c>
      <c r="E4179">
        <v>30.1</v>
      </c>
      <c r="F4179">
        <v>9.4996799858379504</v>
      </c>
    </row>
    <row r="4180" spans="1:6" x14ac:dyDescent="0.2">
      <c r="A4180">
        <v>736787.6618</v>
      </c>
      <c r="B4180">
        <v>-149.597138</v>
      </c>
      <c r="C4180">
        <v>-17.018438</v>
      </c>
      <c r="D4180">
        <v>154.44479976986699</v>
      </c>
      <c r="E4180">
        <v>30.1</v>
      </c>
      <c r="F4180">
        <v>9.4996799858379504</v>
      </c>
    </row>
    <row r="4181" spans="1:6" x14ac:dyDescent="0.2">
      <c r="A4181">
        <v>736787.6618</v>
      </c>
      <c r="B4181">
        <v>-149.597137</v>
      </c>
      <c r="C4181">
        <v>-17.018429999999999</v>
      </c>
      <c r="D4181">
        <v>154.44479976986699</v>
      </c>
      <c r="E4181">
        <v>30.1</v>
      </c>
      <c r="F4181">
        <v>9.4996799858379504</v>
      </c>
    </row>
    <row r="4182" spans="1:6" x14ac:dyDescent="0.2">
      <c r="A4182">
        <v>736787.6618</v>
      </c>
      <c r="B4182">
        <v>-149.59712999999999</v>
      </c>
      <c r="C4182">
        <v>-17.018422000000001</v>
      </c>
      <c r="D4182">
        <v>154.44479976986699</v>
      </c>
      <c r="E4182">
        <v>30.1</v>
      </c>
      <c r="F4182">
        <v>9.4996799858379504</v>
      </c>
    </row>
    <row r="4183" spans="1:6" x14ac:dyDescent="0.2">
      <c r="A4183">
        <v>736787.6618</v>
      </c>
      <c r="B4183">
        <v>-149.59712400000001</v>
      </c>
      <c r="C4183">
        <v>-17.018409999999999</v>
      </c>
      <c r="D4183">
        <v>154.44479976986699</v>
      </c>
      <c r="E4183">
        <v>30.1</v>
      </c>
      <c r="F4183">
        <v>9.4996799858379504</v>
      </c>
    </row>
    <row r="4184" spans="1:6" x14ac:dyDescent="0.2">
      <c r="A4184">
        <v>736787.6618</v>
      </c>
      <c r="B4184">
        <v>-149.59711100000001</v>
      </c>
      <c r="C4184">
        <v>-17.018395999999999</v>
      </c>
      <c r="D4184">
        <v>154.44479976986699</v>
      </c>
      <c r="E4184">
        <v>30.1</v>
      </c>
      <c r="F4184">
        <v>9.4996799858379504</v>
      </c>
    </row>
    <row r="4185" spans="1:6" x14ac:dyDescent="0.2">
      <c r="A4185">
        <v>736787.66189999995</v>
      </c>
      <c r="B4185">
        <v>-149.59710699999999</v>
      </c>
      <c r="C4185">
        <v>-17.018381000000002</v>
      </c>
      <c r="D4185">
        <v>153.266403072207</v>
      </c>
      <c r="E4185">
        <v>30</v>
      </c>
      <c r="F4185">
        <v>9.4375201870038694</v>
      </c>
    </row>
    <row r="4186" spans="1:6" x14ac:dyDescent="0.2">
      <c r="A4186">
        <v>736787.66189999995</v>
      </c>
      <c r="B4186">
        <v>-149.597106</v>
      </c>
      <c r="C4186">
        <v>-17.018367999999999</v>
      </c>
      <c r="D4186">
        <v>153.266403072207</v>
      </c>
      <c r="E4186">
        <v>30</v>
      </c>
      <c r="F4186">
        <v>9.4375201870038694</v>
      </c>
    </row>
    <row r="4187" spans="1:6" x14ac:dyDescent="0.2">
      <c r="A4187">
        <v>736787.66189999995</v>
      </c>
      <c r="B4187">
        <v>-149.597104</v>
      </c>
      <c r="C4187">
        <v>-17.018353000000001</v>
      </c>
      <c r="D4187">
        <v>153.266403072207</v>
      </c>
      <c r="E4187">
        <v>30</v>
      </c>
      <c r="F4187">
        <v>9.4375201870038694</v>
      </c>
    </row>
    <row r="4188" spans="1:6" x14ac:dyDescent="0.2">
      <c r="A4188">
        <v>736787.66189999995</v>
      </c>
      <c r="B4188">
        <v>-149.59709899999999</v>
      </c>
      <c r="C4188">
        <v>-17.018342000000001</v>
      </c>
      <c r="D4188">
        <v>153.266403072207</v>
      </c>
      <c r="E4188">
        <v>30</v>
      </c>
      <c r="F4188">
        <v>9.4375201870038694</v>
      </c>
    </row>
    <row r="4189" spans="1:6" x14ac:dyDescent="0.2">
      <c r="A4189">
        <v>736787.66189999995</v>
      </c>
      <c r="B4189">
        <v>-149.59709000000001</v>
      </c>
      <c r="C4189">
        <v>-17.018329999999999</v>
      </c>
      <c r="D4189">
        <v>153.266403072207</v>
      </c>
      <c r="E4189">
        <v>30</v>
      </c>
      <c r="F4189">
        <v>9.4375201870038694</v>
      </c>
    </row>
    <row r="4190" spans="1:6" x14ac:dyDescent="0.2">
      <c r="A4190">
        <v>736787.66189999995</v>
      </c>
      <c r="B4190">
        <v>-149.59708699999999</v>
      </c>
      <c r="C4190">
        <v>-17.018319000000002</v>
      </c>
      <c r="D4190">
        <v>153.266403072207</v>
      </c>
      <c r="E4190">
        <v>30</v>
      </c>
      <c r="F4190">
        <v>9.4375201870038694</v>
      </c>
    </row>
    <row r="4191" spans="1:6" x14ac:dyDescent="0.2">
      <c r="A4191">
        <v>736787.66189999995</v>
      </c>
      <c r="B4191">
        <v>-149.597083</v>
      </c>
      <c r="C4191">
        <v>-17.018305999999999</v>
      </c>
      <c r="D4191">
        <v>153.266403072207</v>
      </c>
      <c r="E4191">
        <v>30</v>
      </c>
      <c r="F4191">
        <v>9.4375201870038694</v>
      </c>
    </row>
    <row r="4192" spans="1:6" x14ac:dyDescent="0.2">
      <c r="A4192">
        <v>736787.66189999995</v>
      </c>
      <c r="B4192">
        <v>-149.59707399999999</v>
      </c>
      <c r="C4192">
        <v>-17.018293</v>
      </c>
      <c r="D4192">
        <v>153.266403072207</v>
      </c>
      <c r="E4192">
        <v>30</v>
      </c>
      <c r="F4192">
        <v>9.4375201870038694</v>
      </c>
    </row>
    <row r="4193" spans="1:6" x14ac:dyDescent="0.2">
      <c r="A4193">
        <v>736787.66189999995</v>
      </c>
      <c r="B4193">
        <v>-149.59707</v>
      </c>
      <c r="C4193">
        <v>-17.018281000000002</v>
      </c>
      <c r="D4193">
        <v>153.266403072207</v>
      </c>
      <c r="E4193">
        <v>30</v>
      </c>
      <c r="F4193">
        <v>9.4375201870038694</v>
      </c>
    </row>
    <row r="4194" spans="1:6" x14ac:dyDescent="0.2">
      <c r="A4194">
        <v>736787.66200000001</v>
      </c>
      <c r="B4194">
        <v>-149.59706700000001</v>
      </c>
      <c r="C4194">
        <v>-17.018267000000002</v>
      </c>
      <c r="D4194">
        <v>151.40399997585999</v>
      </c>
      <c r="E4194">
        <v>30</v>
      </c>
      <c r="F4194">
        <v>9.3203999975860103</v>
      </c>
    </row>
    <row r="4195" spans="1:6" x14ac:dyDescent="0.2">
      <c r="A4195">
        <v>736787.66200000001</v>
      </c>
      <c r="B4195">
        <v>-149.59706</v>
      </c>
      <c r="C4195">
        <v>-17.018252</v>
      </c>
      <c r="D4195">
        <v>151.40399997585999</v>
      </c>
      <c r="E4195">
        <v>30</v>
      </c>
      <c r="F4195">
        <v>9.3203999975860103</v>
      </c>
    </row>
    <row r="4196" spans="1:6" x14ac:dyDescent="0.2">
      <c r="A4196">
        <v>736787.66200000001</v>
      </c>
      <c r="B4196">
        <v>-149.59705700000001</v>
      </c>
      <c r="C4196">
        <v>-17.018241</v>
      </c>
      <c r="D4196">
        <v>151.40399997585999</v>
      </c>
      <c r="E4196">
        <v>30</v>
      </c>
      <c r="F4196">
        <v>9.3203999975860103</v>
      </c>
    </row>
    <row r="4197" spans="1:6" x14ac:dyDescent="0.2">
      <c r="A4197">
        <v>736787.66200000001</v>
      </c>
      <c r="B4197">
        <v>-149.59705199999999</v>
      </c>
      <c r="C4197">
        <v>-17.018229000000002</v>
      </c>
      <c r="D4197">
        <v>151.40399997585999</v>
      </c>
      <c r="E4197">
        <v>30</v>
      </c>
      <c r="F4197">
        <v>9.3203999975860103</v>
      </c>
    </row>
    <row r="4198" spans="1:6" x14ac:dyDescent="0.2">
      <c r="A4198">
        <v>736787.66200000001</v>
      </c>
      <c r="B4198">
        <v>-149.597048</v>
      </c>
      <c r="C4198">
        <v>-17.018215999999999</v>
      </c>
      <c r="D4198">
        <v>151.40399997585999</v>
      </c>
      <c r="E4198">
        <v>30</v>
      </c>
      <c r="F4198">
        <v>9.3203999975860103</v>
      </c>
    </row>
    <row r="4199" spans="1:6" x14ac:dyDescent="0.2">
      <c r="A4199">
        <v>736787.66200000001</v>
      </c>
      <c r="B4199">
        <v>-149.597047</v>
      </c>
      <c r="C4199">
        <v>-17.018204999999998</v>
      </c>
      <c r="D4199">
        <v>151.40399997585999</v>
      </c>
      <c r="E4199">
        <v>30</v>
      </c>
      <c r="F4199">
        <v>9.3203999975860103</v>
      </c>
    </row>
    <row r="4200" spans="1:6" x14ac:dyDescent="0.2">
      <c r="A4200">
        <v>736787.66200000001</v>
      </c>
      <c r="B4200">
        <v>-149.59703999999999</v>
      </c>
      <c r="C4200">
        <v>-17.018194999999999</v>
      </c>
      <c r="D4200">
        <v>151.40399997585999</v>
      </c>
      <c r="E4200">
        <v>30</v>
      </c>
      <c r="F4200">
        <v>9.3203999975860103</v>
      </c>
    </row>
    <row r="4201" spans="1:6" x14ac:dyDescent="0.2">
      <c r="A4201">
        <v>736787.66200000001</v>
      </c>
      <c r="B4201">
        <v>-149.597038</v>
      </c>
      <c r="C4201">
        <v>-17.018180999999998</v>
      </c>
      <c r="D4201">
        <v>151.40399997585999</v>
      </c>
      <c r="E4201">
        <v>30</v>
      </c>
      <c r="F4201">
        <v>9.3203999975860103</v>
      </c>
    </row>
    <row r="4202" spans="1:6" x14ac:dyDescent="0.2">
      <c r="A4202">
        <v>736787.66200000001</v>
      </c>
      <c r="B4202">
        <v>-149.59704300000001</v>
      </c>
      <c r="C4202">
        <v>-17.018166999999998</v>
      </c>
      <c r="D4202">
        <v>151.40399997585999</v>
      </c>
      <c r="E4202">
        <v>30</v>
      </c>
      <c r="F4202">
        <v>9.3203999975860103</v>
      </c>
    </row>
    <row r="4203" spans="1:6" x14ac:dyDescent="0.2">
      <c r="A4203">
        <v>736787.66209999996</v>
      </c>
      <c r="B4203">
        <v>-149.59704199999999</v>
      </c>
      <c r="C4203">
        <v>-17.018153999999999</v>
      </c>
      <c r="D4203">
        <v>152.156799610543</v>
      </c>
      <c r="E4203">
        <v>30.1</v>
      </c>
      <c r="F4203">
        <v>9.3581599752163491</v>
      </c>
    </row>
    <row r="4204" spans="1:6" x14ac:dyDescent="0.2">
      <c r="A4204">
        <v>736787.66209999996</v>
      </c>
      <c r="B4204">
        <v>-149.59704099999999</v>
      </c>
      <c r="C4204">
        <v>-17.018142999999998</v>
      </c>
      <c r="D4204">
        <v>152.156799610543</v>
      </c>
      <c r="E4204">
        <v>30.1</v>
      </c>
      <c r="F4204">
        <v>9.3581599752163491</v>
      </c>
    </row>
    <row r="4205" spans="1:6" x14ac:dyDescent="0.2">
      <c r="A4205">
        <v>736787.66209999996</v>
      </c>
      <c r="B4205">
        <v>-149.597038</v>
      </c>
      <c r="C4205">
        <v>-17.018132999999999</v>
      </c>
      <c r="D4205">
        <v>152.156799610543</v>
      </c>
      <c r="E4205">
        <v>30.1</v>
      </c>
      <c r="F4205">
        <v>9.3581599752163491</v>
      </c>
    </row>
    <row r="4206" spans="1:6" x14ac:dyDescent="0.2">
      <c r="A4206">
        <v>736787.66209999996</v>
      </c>
      <c r="B4206">
        <v>-149.59702899999999</v>
      </c>
      <c r="C4206">
        <v>-17.018117</v>
      </c>
      <c r="D4206">
        <v>152.156799610543</v>
      </c>
      <c r="E4206">
        <v>30.1</v>
      </c>
      <c r="F4206">
        <v>9.3581599752163491</v>
      </c>
    </row>
    <row r="4207" spans="1:6" x14ac:dyDescent="0.2">
      <c r="A4207">
        <v>736787.66209999996</v>
      </c>
      <c r="B4207">
        <v>-149.597024</v>
      </c>
      <c r="C4207">
        <v>-17.018108999999999</v>
      </c>
      <c r="D4207">
        <v>152.156799610543</v>
      </c>
      <c r="E4207">
        <v>30.1</v>
      </c>
      <c r="F4207">
        <v>9.3581599752163491</v>
      </c>
    </row>
    <row r="4208" spans="1:6" x14ac:dyDescent="0.2">
      <c r="A4208">
        <v>736787.66209999996</v>
      </c>
      <c r="B4208">
        <v>-149.59702100000001</v>
      </c>
      <c r="C4208">
        <v>-17.018098999999999</v>
      </c>
      <c r="D4208">
        <v>152.156799610543</v>
      </c>
      <c r="E4208">
        <v>30.1</v>
      </c>
      <c r="F4208">
        <v>9.3581599752163491</v>
      </c>
    </row>
    <row r="4209" spans="1:6" x14ac:dyDescent="0.2">
      <c r="A4209">
        <v>736787.66209999996</v>
      </c>
      <c r="B4209">
        <v>-149.59701200000001</v>
      </c>
      <c r="C4209">
        <v>-17.018087999999999</v>
      </c>
      <c r="D4209">
        <v>152.156799610543</v>
      </c>
      <c r="E4209">
        <v>30.1</v>
      </c>
      <c r="F4209">
        <v>9.3581599752163491</v>
      </c>
    </row>
    <row r="4210" spans="1:6" x14ac:dyDescent="0.2">
      <c r="A4210">
        <v>736787.66220000002</v>
      </c>
      <c r="B4210">
        <v>-149.59700599999999</v>
      </c>
      <c r="C4210">
        <v>-17.018077999999999</v>
      </c>
      <c r="D4210">
        <v>150.19999999999999</v>
      </c>
      <c r="E4210">
        <v>30</v>
      </c>
      <c r="F4210">
        <v>9.25416000305772</v>
      </c>
    </row>
    <row r="4211" spans="1:6" x14ac:dyDescent="0.2">
      <c r="A4211">
        <v>736787.66220000002</v>
      </c>
      <c r="B4211">
        <v>-149.597003</v>
      </c>
      <c r="C4211">
        <v>-17.018068</v>
      </c>
      <c r="D4211">
        <v>150.19999999999999</v>
      </c>
      <c r="E4211">
        <v>30</v>
      </c>
      <c r="F4211">
        <v>9.25416000305772</v>
      </c>
    </row>
    <row r="4212" spans="1:6" x14ac:dyDescent="0.2">
      <c r="A4212">
        <v>736787.66220000002</v>
      </c>
      <c r="B4212">
        <v>-149.59699499999999</v>
      </c>
      <c r="C4212">
        <v>-17.018056999999999</v>
      </c>
      <c r="D4212">
        <v>150.19999999999999</v>
      </c>
      <c r="E4212">
        <v>30</v>
      </c>
      <c r="F4212">
        <v>9.25416000305772</v>
      </c>
    </row>
    <row r="4213" spans="1:6" x14ac:dyDescent="0.2">
      <c r="A4213">
        <v>736787.66220000002</v>
      </c>
      <c r="B4213">
        <v>-149.596991</v>
      </c>
      <c r="C4213">
        <v>-17.018042000000001</v>
      </c>
      <c r="D4213">
        <v>150.19999999999999</v>
      </c>
      <c r="E4213">
        <v>30</v>
      </c>
      <c r="F4213">
        <v>9.25416000305772</v>
      </c>
    </row>
    <row r="4214" spans="1:6" x14ac:dyDescent="0.2">
      <c r="A4214">
        <v>736787.66220000002</v>
      </c>
      <c r="B4214">
        <v>-149.59698499999999</v>
      </c>
      <c r="C4214">
        <v>-17.01803</v>
      </c>
      <c r="D4214">
        <v>150.19999999999999</v>
      </c>
      <c r="E4214">
        <v>30</v>
      </c>
      <c r="F4214">
        <v>9.25416000305772</v>
      </c>
    </row>
    <row r="4215" spans="1:6" x14ac:dyDescent="0.2">
      <c r="A4215">
        <v>736787.66220000002</v>
      </c>
      <c r="B4215">
        <v>-149.59697499999999</v>
      </c>
      <c r="C4215">
        <v>-17.018011999999999</v>
      </c>
      <c r="D4215">
        <v>150.19999999999999</v>
      </c>
      <c r="E4215">
        <v>30</v>
      </c>
      <c r="F4215">
        <v>9.25416000305772</v>
      </c>
    </row>
    <row r="4216" spans="1:6" x14ac:dyDescent="0.2">
      <c r="A4216">
        <v>736787.66220000002</v>
      </c>
      <c r="B4216">
        <v>-149.596969</v>
      </c>
      <c r="C4216">
        <v>-17.017997000000001</v>
      </c>
      <c r="D4216">
        <v>150.19999999999999</v>
      </c>
      <c r="E4216">
        <v>30</v>
      </c>
      <c r="F4216">
        <v>9.25416000305772</v>
      </c>
    </row>
    <row r="4217" spans="1:6" x14ac:dyDescent="0.2">
      <c r="A4217">
        <v>736787.66229999997</v>
      </c>
      <c r="B4217">
        <v>-149.596968</v>
      </c>
      <c r="C4217">
        <v>-17.017983999999998</v>
      </c>
      <c r="D4217">
        <v>148.828799723196</v>
      </c>
      <c r="E4217">
        <v>30</v>
      </c>
      <c r="F4217">
        <v>9.1714399861597808</v>
      </c>
    </row>
    <row r="4218" spans="1:6" x14ac:dyDescent="0.2">
      <c r="A4218">
        <v>736787.66229999997</v>
      </c>
      <c r="B4218">
        <v>-149.59696099999999</v>
      </c>
      <c r="C4218">
        <v>-17.017970999999999</v>
      </c>
      <c r="D4218">
        <v>148.828799723196</v>
      </c>
      <c r="E4218">
        <v>30</v>
      </c>
      <c r="F4218">
        <v>9.1714399861597808</v>
      </c>
    </row>
    <row r="4219" spans="1:6" x14ac:dyDescent="0.2">
      <c r="A4219">
        <v>736787.66229999997</v>
      </c>
      <c r="B4219">
        <v>-149.596959</v>
      </c>
      <c r="C4219">
        <v>-17.017959999999999</v>
      </c>
      <c r="D4219">
        <v>148.828799723196</v>
      </c>
      <c r="E4219">
        <v>30</v>
      </c>
      <c r="F4219">
        <v>9.1714399861597808</v>
      </c>
    </row>
    <row r="4220" spans="1:6" x14ac:dyDescent="0.2">
      <c r="A4220">
        <v>736787.66229999997</v>
      </c>
      <c r="B4220">
        <v>-149.59695300000001</v>
      </c>
      <c r="C4220">
        <v>-17.017945000000001</v>
      </c>
      <c r="D4220">
        <v>148.828799723196</v>
      </c>
      <c r="E4220">
        <v>30</v>
      </c>
      <c r="F4220">
        <v>9.1714399861597808</v>
      </c>
    </row>
    <row r="4221" spans="1:6" x14ac:dyDescent="0.2">
      <c r="A4221">
        <v>736787.66229999997</v>
      </c>
      <c r="B4221">
        <v>-149.596946</v>
      </c>
      <c r="C4221">
        <v>-17.01793</v>
      </c>
      <c r="D4221">
        <v>148.828799723196</v>
      </c>
      <c r="E4221">
        <v>30</v>
      </c>
      <c r="F4221">
        <v>9.1714399861597808</v>
      </c>
    </row>
    <row r="4222" spans="1:6" x14ac:dyDescent="0.2">
      <c r="A4222">
        <v>736787.66229999997</v>
      </c>
      <c r="B4222">
        <v>-149.59694200000001</v>
      </c>
      <c r="C4222">
        <v>-17.017921000000001</v>
      </c>
      <c r="D4222">
        <v>148.828799723196</v>
      </c>
      <c r="E4222">
        <v>30</v>
      </c>
      <c r="F4222">
        <v>9.1714399861597808</v>
      </c>
    </row>
    <row r="4223" spans="1:6" x14ac:dyDescent="0.2">
      <c r="A4223">
        <v>736787.66229999997</v>
      </c>
      <c r="B4223">
        <v>-149.59692899999999</v>
      </c>
      <c r="C4223">
        <v>-17.017914999999999</v>
      </c>
      <c r="D4223">
        <v>148.828799723196</v>
      </c>
      <c r="E4223">
        <v>30</v>
      </c>
      <c r="F4223">
        <v>9.1714399861597808</v>
      </c>
    </row>
    <row r="4224" spans="1:6" x14ac:dyDescent="0.2">
      <c r="A4224">
        <v>736787.66229999997</v>
      </c>
      <c r="B4224">
        <v>-149.59691699999999</v>
      </c>
      <c r="C4224">
        <v>-17.017901999999999</v>
      </c>
      <c r="D4224">
        <v>148.828799723196</v>
      </c>
      <c r="E4224">
        <v>30</v>
      </c>
      <c r="F4224">
        <v>9.1714399861597808</v>
      </c>
    </row>
    <row r="4225" spans="1:6" x14ac:dyDescent="0.2">
      <c r="A4225">
        <v>736787.66229999997</v>
      </c>
      <c r="B4225">
        <v>-149.59690699999999</v>
      </c>
      <c r="C4225">
        <v>-17.017887000000002</v>
      </c>
      <c r="D4225">
        <v>148.828799723196</v>
      </c>
      <c r="E4225">
        <v>30</v>
      </c>
      <c r="F4225">
        <v>9.1714399861597808</v>
      </c>
    </row>
    <row r="4226" spans="1:6" x14ac:dyDescent="0.2">
      <c r="A4226">
        <v>736787.66240000003</v>
      </c>
      <c r="B4226">
        <v>-149.59688600000001</v>
      </c>
      <c r="C4226">
        <v>-17.017866999999999</v>
      </c>
      <c r="D4226">
        <v>151.528801073419</v>
      </c>
      <c r="E4226">
        <v>30</v>
      </c>
      <c r="F4226">
        <v>9.3282400629245803</v>
      </c>
    </row>
    <row r="4227" spans="1:6" x14ac:dyDescent="0.2">
      <c r="A4227">
        <v>736787.66240000003</v>
      </c>
      <c r="B4227">
        <v>-149.59687500000001</v>
      </c>
      <c r="C4227">
        <v>-17.017859999999999</v>
      </c>
      <c r="D4227">
        <v>151.528801073419</v>
      </c>
      <c r="E4227">
        <v>30</v>
      </c>
      <c r="F4227">
        <v>9.3282400629245803</v>
      </c>
    </row>
    <row r="4228" spans="1:6" x14ac:dyDescent="0.2">
      <c r="A4228">
        <v>736787.66240000003</v>
      </c>
      <c r="B4228">
        <v>-149.59686099999999</v>
      </c>
      <c r="C4228">
        <v>-17.017852999999999</v>
      </c>
      <c r="D4228">
        <v>151.528801073419</v>
      </c>
      <c r="E4228">
        <v>30</v>
      </c>
      <c r="F4228">
        <v>9.3282400629245803</v>
      </c>
    </row>
    <row r="4229" spans="1:6" x14ac:dyDescent="0.2">
      <c r="A4229">
        <v>736787.66240000003</v>
      </c>
      <c r="B4229">
        <v>-149.59684899999999</v>
      </c>
      <c r="C4229">
        <v>-17.017845000000001</v>
      </c>
      <c r="D4229">
        <v>151.528801073419</v>
      </c>
      <c r="E4229">
        <v>30</v>
      </c>
      <c r="F4229">
        <v>9.3282400629245803</v>
      </c>
    </row>
    <row r="4230" spans="1:6" x14ac:dyDescent="0.2">
      <c r="A4230">
        <v>736787.66240000003</v>
      </c>
      <c r="B4230">
        <v>-149.59683000000001</v>
      </c>
      <c r="C4230">
        <v>-17.017844</v>
      </c>
      <c r="D4230">
        <v>151.528801073419</v>
      </c>
      <c r="E4230">
        <v>30</v>
      </c>
      <c r="F4230">
        <v>9.3282400629245803</v>
      </c>
    </row>
    <row r="4231" spans="1:6" x14ac:dyDescent="0.2">
      <c r="A4231">
        <v>736787.66240000003</v>
      </c>
      <c r="B4231">
        <v>-149.59681499999999</v>
      </c>
      <c r="C4231">
        <v>-17.017838999999999</v>
      </c>
      <c r="D4231">
        <v>151.528801073419</v>
      </c>
      <c r="E4231">
        <v>30</v>
      </c>
      <c r="F4231">
        <v>9.3282400629245803</v>
      </c>
    </row>
    <row r="4232" spans="1:6" x14ac:dyDescent="0.2">
      <c r="A4232">
        <v>736787.66240000003</v>
      </c>
      <c r="B4232">
        <v>-149.59680299999999</v>
      </c>
      <c r="C4232">
        <v>-17.017833</v>
      </c>
      <c r="D4232">
        <v>151.528801073419</v>
      </c>
      <c r="E4232">
        <v>30</v>
      </c>
      <c r="F4232">
        <v>9.3282400629245803</v>
      </c>
    </row>
    <row r="4233" spans="1:6" x14ac:dyDescent="0.2">
      <c r="A4233">
        <v>736787.66249999998</v>
      </c>
      <c r="B4233">
        <v>-149.596789</v>
      </c>
      <c r="C4233">
        <v>-17.017825999999999</v>
      </c>
      <c r="D4233">
        <v>153.93999863207199</v>
      </c>
      <c r="E4233">
        <v>30.1</v>
      </c>
      <c r="F4233">
        <v>9.4659999155103005</v>
      </c>
    </row>
    <row r="4234" spans="1:6" x14ac:dyDescent="0.2">
      <c r="A4234">
        <v>736787.66249999998</v>
      </c>
      <c r="B4234">
        <v>-149.59678199999999</v>
      </c>
      <c r="C4234">
        <v>-17.017818999999999</v>
      </c>
      <c r="D4234">
        <v>153.93999863207199</v>
      </c>
      <c r="E4234">
        <v>30.1</v>
      </c>
      <c r="F4234">
        <v>9.4659999155103005</v>
      </c>
    </row>
    <row r="4235" spans="1:6" x14ac:dyDescent="0.2">
      <c r="A4235">
        <v>736787.66249999998</v>
      </c>
      <c r="B4235">
        <v>-149.59676999999999</v>
      </c>
      <c r="C4235">
        <v>-17.017813</v>
      </c>
      <c r="D4235">
        <v>153.93999863207199</v>
      </c>
      <c r="E4235">
        <v>30.1</v>
      </c>
      <c r="F4235">
        <v>9.4659999155103005</v>
      </c>
    </row>
    <row r="4236" spans="1:6" x14ac:dyDescent="0.2">
      <c r="A4236">
        <v>736787.66249999998</v>
      </c>
      <c r="B4236">
        <v>-149.59675799999999</v>
      </c>
      <c r="C4236">
        <v>-17.017802</v>
      </c>
      <c r="D4236">
        <v>153.93999863207199</v>
      </c>
      <c r="E4236">
        <v>30.1</v>
      </c>
      <c r="F4236">
        <v>9.4659999155103005</v>
      </c>
    </row>
    <row r="4237" spans="1:6" x14ac:dyDescent="0.2">
      <c r="A4237">
        <v>736787.66249999998</v>
      </c>
      <c r="B4237">
        <v>-149.596743</v>
      </c>
      <c r="C4237">
        <v>-17.017790999999999</v>
      </c>
      <c r="D4237">
        <v>153.93999863207199</v>
      </c>
      <c r="E4237">
        <v>30.1</v>
      </c>
      <c r="F4237">
        <v>9.4659999155103005</v>
      </c>
    </row>
    <row r="4238" spans="1:6" x14ac:dyDescent="0.2">
      <c r="A4238">
        <v>736787.66249999998</v>
      </c>
      <c r="B4238">
        <v>-149.59672800000001</v>
      </c>
      <c r="C4238">
        <v>-17.017780999999999</v>
      </c>
      <c r="D4238">
        <v>153.93999863207199</v>
      </c>
      <c r="E4238">
        <v>30.1</v>
      </c>
      <c r="F4238">
        <v>9.4659999155103005</v>
      </c>
    </row>
    <row r="4239" spans="1:6" x14ac:dyDescent="0.2">
      <c r="A4239">
        <v>736787.66249999998</v>
      </c>
      <c r="B4239">
        <v>-149.59671900000001</v>
      </c>
      <c r="C4239">
        <v>-17.017776000000001</v>
      </c>
      <c r="D4239">
        <v>153.93999863207199</v>
      </c>
      <c r="E4239">
        <v>30.1</v>
      </c>
      <c r="F4239">
        <v>9.4659999155103005</v>
      </c>
    </row>
    <row r="4240" spans="1:6" x14ac:dyDescent="0.2">
      <c r="A4240">
        <v>736787.66249999998</v>
      </c>
      <c r="B4240">
        <v>-149.596712</v>
      </c>
      <c r="C4240">
        <v>-17.017768</v>
      </c>
      <c r="D4240">
        <v>153.93999863207199</v>
      </c>
      <c r="E4240">
        <v>30.1</v>
      </c>
      <c r="F4240">
        <v>9.4659999155103005</v>
      </c>
    </row>
    <row r="4241" spans="1:6" x14ac:dyDescent="0.2">
      <c r="A4241">
        <v>736787.66249999998</v>
      </c>
      <c r="B4241">
        <v>-149.596698</v>
      </c>
      <c r="C4241">
        <v>-17.017754</v>
      </c>
      <c r="D4241">
        <v>153.93999863207199</v>
      </c>
      <c r="E4241">
        <v>30.1</v>
      </c>
      <c r="F4241">
        <v>9.4659999155103005</v>
      </c>
    </row>
    <row r="4242" spans="1:6" x14ac:dyDescent="0.2">
      <c r="A4242">
        <v>736787.66260000004</v>
      </c>
      <c r="B4242">
        <v>-149.59668400000001</v>
      </c>
      <c r="C4242">
        <v>-17.017744</v>
      </c>
      <c r="D4242">
        <v>157.73280004345199</v>
      </c>
      <c r="E4242">
        <v>30.2</v>
      </c>
      <c r="F4242">
        <v>9.69</v>
      </c>
    </row>
    <row r="4243" spans="1:6" x14ac:dyDescent="0.2">
      <c r="A4243">
        <v>736787.66260000004</v>
      </c>
      <c r="B4243">
        <v>-149.59667400000001</v>
      </c>
      <c r="C4243">
        <v>-17.017734000000001</v>
      </c>
      <c r="D4243">
        <v>157.73280004345199</v>
      </c>
      <c r="E4243">
        <v>30.2</v>
      </c>
      <c r="F4243">
        <v>9.69</v>
      </c>
    </row>
    <row r="4244" spans="1:6" x14ac:dyDescent="0.2">
      <c r="A4244">
        <v>736787.66260000004</v>
      </c>
      <c r="B4244">
        <v>-149.596667</v>
      </c>
      <c r="C4244">
        <v>-17.017726</v>
      </c>
      <c r="D4244">
        <v>157.73280004345199</v>
      </c>
      <c r="E4244">
        <v>30.2</v>
      </c>
      <c r="F4244">
        <v>9.69</v>
      </c>
    </row>
    <row r="4245" spans="1:6" x14ac:dyDescent="0.2">
      <c r="A4245">
        <v>736787.66260000004</v>
      </c>
      <c r="B4245">
        <v>-149.59666100000001</v>
      </c>
      <c r="C4245">
        <v>-17.017717000000001</v>
      </c>
      <c r="D4245">
        <v>157.73280004345199</v>
      </c>
      <c r="E4245">
        <v>30.2</v>
      </c>
      <c r="F4245">
        <v>9.69</v>
      </c>
    </row>
    <row r="4246" spans="1:6" x14ac:dyDescent="0.2">
      <c r="A4246">
        <v>736787.66260000004</v>
      </c>
      <c r="B4246">
        <v>-149.59665000000001</v>
      </c>
      <c r="C4246">
        <v>-17.017707000000001</v>
      </c>
      <c r="D4246">
        <v>157.73280004345199</v>
      </c>
      <c r="E4246">
        <v>30.2</v>
      </c>
      <c r="F4246">
        <v>9.69</v>
      </c>
    </row>
    <row r="4247" spans="1:6" x14ac:dyDescent="0.2">
      <c r="A4247">
        <v>736787.66260000004</v>
      </c>
      <c r="B4247">
        <v>-149.59663800000001</v>
      </c>
      <c r="C4247">
        <v>-17.017700000000001</v>
      </c>
      <c r="D4247">
        <v>157.73280004345199</v>
      </c>
      <c r="E4247">
        <v>30.2</v>
      </c>
      <c r="F4247">
        <v>9.69</v>
      </c>
    </row>
    <row r="4248" spans="1:6" x14ac:dyDescent="0.2">
      <c r="A4248">
        <v>736787.66260000004</v>
      </c>
      <c r="B4248">
        <v>-149.59662599999999</v>
      </c>
      <c r="C4248">
        <v>-17.017697999999999</v>
      </c>
      <c r="D4248">
        <v>157.73280004345199</v>
      </c>
      <c r="E4248">
        <v>30.2</v>
      </c>
      <c r="F4248">
        <v>9.69</v>
      </c>
    </row>
    <row r="4249" spans="1:6" x14ac:dyDescent="0.2">
      <c r="A4249">
        <v>736787.66260000004</v>
      </c>
      <c r="B4249">
        <v>-149.59661600000001</v>
      </c>
      <c r="C4249">
        <v>-17.017693999999999</v>
      </c>
      <c r="D4249">
        <v>157.73280004345199</v>
      </c>
      <c r="E4249">
        <v>30.2</v>
      </c>
      <c r="F4249">
        <v>9.69</v>
      </c>
    </row>
    <row r="4250" spans="1:6" x14ac:dyDescent="0.2">
      <c r="A4250">
        <v>736787.66269999999</v>
      </c>
      <c r="B4250">
        <v>-149.59660400000001</v>
      </c>
      <c r="C4250">
        <v>-17.017688</v>
      </c>
      <c r="D4250">
        <v>160.20160168013501</v>
      </c>
      <c r="E4250">
        <v>30.205600046670401</v>
      </c>
      <c r="F4250">
        <v>9.8317600980078605</v>
      </c>
    </row>
    <row r="4251" spans="1:6" x14ac:dyDescent="0.2">
      <c r="A4251">
        <v>736787.66269999999</v>
      </c>
      <c r="B4251">
        <v>-149.59659199999999</v>
      </c>
      <c r="C4251">
        <v>-17.017683999999999</v>
      </c>
      <c r="D4251">
        <v>160.20160168013501</v>
      </c>
      <c r="E4251">
        <v>30.205600046670401</v>
      </c>
      <c r="F4251">
        <v>9.8317600980078605</v>
      </c>
    </row>
    <row r="4252" spans="1:6" x14ac:dyDescent="0.2">
      <c r="A4252">
        <v>736787.66269999999</v>
      </c>
      <c r="B4252">
        <v>-149.596576</v>
      </c>
      <c r="C4252">
        <v>-17.017672999999998</v>
      </c>
      <c r="D4252">
        <v>160.20160168013501</v>
      </c>
      <c r="E4252">
        <v>30.205600046670401</v>
      </c>
      <c r="F4252">
        <v>9.8317600980078605</v>
      </c>
    </row>
    <row r="4253" spans="1:6" x14ac:dyDescent="0.2">
      <c r="A4253">
        <v>736787.66269999999</v>
      </c>
      <c r="B4253">
        <v>-149.59656100000001</v>
      </c>
      <c r="C4253">
        <v>-17.017666999999999</v>
      </c>
      <c r="D4253">
        <v>160.20160168013501</v>
      </c>
      <c r="E4253">
        <v>30.205600046670401</v>
      </c>
      <c r="F4253">
        <v>9.8317600980078605</v>
      </c>
    </row>
    <row r="4254" spans="1:6" x14ac:dyDescent="0.2">
      <c r="A4254">
        <v>736787.66269999999</v>
      </c>
      <c r="B4254">
        <v>-149.596552</v>
      </c>
      <c r="C4254">
        <v>-17.017662999999999</v>
      </c>
      <c r="D4254">
        <v>160.20160168013501</v>
      </c>
      <c r="E4254">
        <v>30.205600046670401</v>
      </c>
      <c r="F4254">
        <v>9.8317600980078605</v>
      </c>
    </row>
    <row r="4255" spans="1:6" x14ac:dyDescent="0.2">
      <c r="A4255">
        <v>736787.66269999999</v>
      </c>
      <c r="B4255">
        <v>-149.596543</v>
      </c>
      <c r="C4255">
        <v>-17.017657</v>
      </c>
      <c r="D4255">
        <v>160.20160168013501</v>
      </c>
      <c r="E4255">
        <v>30.205600046670401</v>
      </c>
      <c r="F4255">
        <v>9.8317600980078605</v>
      </c>
    </row>
    <row r="4256" spans="1:6" x14ac:dyDescent="0.2">
      <c r="A4256">
        <v>736787.66269999999</v>
      </c>
      <c r="B4256">
        <v>-149.59653</v>
      </c>
      <c r="C4256">
        <v>-17.017648000000001</v>
      </c>
      <c r="D4256">
        <v>160.20160168013501</v>
      </c>
      <c r="E4256">
        <v>30.205600046670401</v>
      </c>
      <c r="F4256">
        <v>9.8317600980078605</v>
      </c>
    </row>
    <row r="4257" spans="1:6" x14ac:dyDescent="0.2">
      <c r="A4257">
        <v>736787.66269999999</v>
      </c>
      <c r="B4257">
        <v>-149.59651600000001</v>
      </c>
      <c r="C4257">
        <v>-17.017638000000002</v>
      </c>
      <c r="D4257">
        <v>160.20160168013501</v>
      </c>
      <c r="E4257">
        <v>30.205600046670401</v>
      </c>
      <c r="F4257">
        <v>9.8317600980078605</v>
      </c>
    </row>
    <row r="4258" spans="1:6" x14ac:dyDescent="0.2">
      <c r="A4258">
        <v>736787.66280000005</v>
      </c>
      <c r="B4258">
        <v>-149.59650600000001</v>
      </c>
      <c r="C4258">
        <v>-17.01763</v>
      </c>
      <c r="D4258">
        <v>163.6</v>
      </c>
      <c r="E4258">
        <v>30.3</v>
      </c>
      <c r="F4258">
        <v>10.0221599950111</v>
      </c>
    </row>
    <row r="4259" spans="1:6" x14ac:dyDescent="0.2">
      <c r="A4259">
        <v>736787.66280000005</v>
      </c>
      <c r="B4259">
        <v>-149.59649400000001</v>
      </c>
      <c r="C4259">
        <v>-17.017624999999999</v>
      </c>
      <c r="D4259">
        <v>163.6</v>
      </c>
      <c r="E4259">
        <v>30.3</v>
      </c>
      <c r="F4259">
        <v>10.0221599950111</v>
      </c>
    </row>
    <row r="4260" spans="1:6" x14ac:dyDescent="0.2">
      <c r="A4260">
        <v>736787.66280000005</v>
      </c>
      <c r="B4260">
        <v>-149.59648000000001</v>
      </c>
      <c r="C4260">
        <v>-17.017614999999999</v>
      </c>
      <c r="D4260">
        <v>163.6</v>
      </c>
      <c r="E4260">
        <v>30.3</v>
      </c>
      <c r="F4260">
        <v>10.0221599950111</v>
      </c>
    </row>
    <row r="4261" spans="1:6" x14ac:dyDescent="0.2">
      <c r="A4261">
        <v>736787.66280000005</v>
      </c>
      <c r="B4261">
        <v>-149.59647100000001</v>
      </c>
      <c r="C4261">
        <v>-17.017609</v>
      </c>
      <c r="D4261">
        <v>163.6</v>
      </c>
      <c r="E4261">
        <v>30.3</v>
      </c>
      <c r="F4261">
        <v>10.0221599950111</v>
      </c>
    </row>
    <row r="4262" spans="1:6" x14ac:dyDescent="0.2">
      <c r="A4262">
        <v>736787.66280000005</v>
      </c>
      <c r="B4262">
        <v>-149.59646000000001</v>
      </c>
      <c r="C4262">
        <v>-17.017607999999999</v>
      </c>
      <c r="D4262">
        <v>163.6</v>
      </c>
      <c r="E4262">
        <v>30.3</v>
      </c>
      <c r="F4262">
        <v>10.0221599950111</v>
      </c>
    </row>
    <row r="4263" spans="1:6" x14ac:dyDescent="0.2">
      <c r="A4263">
        <v>736787.66280000005</v>
      </c>
      <c r="B4263">
        <v>-149.59644900000001</v>
      </c>
      <c r="C4263">
        <v>-17.017600999999999</v>
      </c>
      <c r="D4263">
        <v>163.6</v>
      </c>
      <c r="E4263">
        <v>30.3</v>
      </c>
      <c r="F4263">
        <v>10.0221599950111</v>
      </c>
    </row>
    <row r="4264" spans="1:6" x14ac:dyDescent="0.2">
      <c r="A4264">
        <v>736787.66280000005</v>
      </c>
      <c r="B4264">
        <v>-149.59642400000001</v>
      </c>
      <c r="C4264">
        <v>-17.017582999999998</v>
      </c>
      <c r="D4264">
        <v>163.6</v>
      </c>
      <c r="E4264">
        <v>30.3</v>
      </c>
      <c r="F4264">
        <v>10.0221599950111</v>
      </c>
    </row>
    <row r="4265" spans="1:6" x14ac:dyDescent="0.2">
      <c r="A4265">
        <v>736787.66280000005</v>
      </c>
      <c r="B4265">
        <v>-149.59641400000001</v>
      </c>
      <c r="C4265">
        <v>-17.017574</v>
      </c>
      <c r="D4265">
        <v>163.6</v>
      </c>
      <c r="E4265">
        <v>30.3</v>
      </c>
      <c r="F4265">
        <v>10.0221599950111</v>
      </c>
    </row>
    <row r="4266" spans="1:6" x14ac:dyDescent="0.2">
      <c r="A4266">
        <v>736787.6629</v>
      </c>
      <c r="B4266">
        <v>-149.59640200000001</v>
      </c>
      <c r="C4266">
        <v>-17.017561000000001</v>
      </c>
      <c r="D4266">
        <v>167.62880127458499</v>
      </c>
      <c r="E4266">
        <v>30.3512000531077</v>
      </c>
      <c r="F4266">
        <v>10.2668000796616</v>
      </c>
    </row>
    <row r="4267" spans="1:6" x14ac:dyDescent="0.2">
      <c r="A4267">
        <v>736787.6629</v>
      </c>
      <c r="B4267">
        <v>-149.596386</v>
      </c>
      <c r="C4267">
        <v>-17.017545999999999</v>
      </c>
      <c r="D4267">
        <v>167.62880127458499</v>
      </c>
      <c r="E4267">
        <v>30.3512000531077</v>
      </c>
      <c r="F4267">
        <v>10.2668000796616</v>
      </c>
    </row>
    <row r="4268" spans="1:6" x14ac:dyDescent="0.2">
      <c r="A4268">
        <v>736787.6629</v>
      </c>
      <c r="B4268">
        <v>-149.59637900000001</v>
      </c>
      <c r="C4268">
        <v>-17.017538999999999</v>
      </c>
      <c r="D4268">
        <v>167.62880127458499</v>
      </c>
      <c r="E4268">
        <v>30.3512000531077</v>
      </c>
      <c r="F4268">
        <v>10.2668000796616</v>
      </c>
    </row>
    <row r="4269" spans="1:6" x14ac:dyDescent="0.2">
      <c r="A4269">
        <v>736787.6629</v>
      </c>
      <c r="B4269">
        <v>-149.59636599999999</v>
      </c>
      <c r="C4269">
        <v>-17.017534999999999</v>
      </c>
      <c r="D4269">
        <v>167.62880127458499</v>
      </c>
      <c r="E4269">
        <v>30.3512000531077</v>
      </c>
      <c r="F4269">
        <v>10.2668000796616</v>
      </c>
    </row>
    <row r="4270" spans="1:6" x14ac:dyDescent="0.2">
      <c r="A4270">
        <v>736787.6629</v>
      </c>
      <c r="B4270">
        <v>-149.596352</v>
      </c>
      <c r="C4270">
        <v>-17.017524999999999</v>
      </c>
      <c r="D4270">
        <v>167.62880127458499</v>
      </c>
      <c r="E4270">
        <v>30.3512000531077</v>
      </c>
      <c r="F4270">
        <v>10.2668000796616</v>
      </c>
    </row>
    <row r="4271" spans="1:6" x14ac:dyDescent="0.2">
      <c r="A4271">
        <v>736787.6629</v>
      </c>
      <c r="B4271">
        <v>-149.59634299999999</v>
      </c>
      <c r="C4271">
        <v>-17.017510999999999</v>
      </c>
      <c r="D4271">
        <v>167.62880127458499</v>
      </c>
      <c r="E4271">
        <v>30.3512000531077</v>
      </c>
      <c r="F4271">
        <v>10.2668000796616</v>
      </c>
    </row>
    <row r="4272" spans="1:6" x14ac:dyDescent="0.2">
      <c r="A4272">
        <v>736787.6629</v>
      </c>
      <c r="B4272">
        <v>-149.596328</v>
      </c>
      <c r="C4272">
        <v>-17.017502</v>
      </c>
      <c r="D4272">
        <v>167.62880127458499</v>
      </c>
      <c r="E4272">
        <v>30.3512000531077</v>
      </c>
      <c r="F4272">
        <v>10.2668000796616</v>
      </c>
    </row>
    <row r="4273" spans="1:6" x14ac:dyDescent="0.2">
      <c r="A4273">
        <v>736787.6629</v>
      </c>
      <c r="B4273">
        <v>-149.59631899999999</v>
      </c>
      <c r="C4273">
        <v>-17.017493000000002</v>
      </c>
      <c r="D4273">
        <v>167.62880127458499</v>
      </c>
      <c r="E4273">
        <v>30.3512000531077</v>
      </c>
      <c r="F4273">
        <v>10.2668000796616</v>
      </c>
    </row>
    <row r="4274" spans="1:6" x14ac:dyDescent="0.2">
      <c r="A4274">
        <v>736787.66299999994</v>
      </c>
      <c r="B4274">
        <v>-149.59630799999999</v>
      </c>
      <c r="C4274">
        <v>-17.017486999999999</v>
      </c>
      <c r="D4274">
        <v>168.89599942064299</v>
      </c>
      <c r="E4274">
        <v>30.3</v>
      </c>
      <c r="F4274">
        <v>10.344799971032201</v>
      </c>
    </row>
    <row r="4275" spans="1:6" x14ac:dyDescent="0.2">
      <c r="A4275">
        <v>736787.66299999994</v>
      </c>
      <c r="B4275">
        <v>-149.59629100000001</v>
      </c>
      <c r="C4275">
        <v>-17.017479999999999</v>
      </c>
      <c r="D4275">
        <v>168.89599942064299</v>
      </c>
      <c r="E4275">
        <v>30.3</v>
      </c>
      <c r="F4275">
        <v>10.344799971032201</v>
      </c>
    </row>
    <row r="4276" spans="1:6" x14ac:dyDescent="0.2">
      <c r="A4276">
        <v>736787.66299999994</v>
      </c>
      <c r="B4276">
        <v>-149.596281</v>
      </c>
      <c r="C4276">
        <v>-17.017475999999998</v>
      </c>
      <c r="D4276">
        <v>168.89599942064299</v>
      </c>
      <c r="E4276">
        <v>30.3</v>
      </c>
      <c r="F4276">
        <v>10.344799971032201</v>
      </c>
    </row>
    <row r="4277" spans="1:6" x14ac:dyDescent="0.2">
      <c r="A4277">
        <v>736787.66299999994</v>
      </c>
      <c r="B4277">
        <v>-149.59626700000001</v>
      </c>
      <c r="C4277">
        <v>-17.017475999999998</v>
      </c>
      <c r="D4277">
        <v>168.89599942064299</v>
      </c>
      <c r="E4277">
        <v>30.3</v>
      </c>
      <c r="F4277">
        <v>10.344799971032201</v>
      </c>
    </row>
    <row r="4278" spans="1:6" x14ac:dyDescent="0.2">
      <c r="A4278">
        <v>736787.66299999994</v>
      </c>
      <c r="B4278">
        <v>-149.596251</v>
      </c>
      <c r="C4278">
        <v>-17.017468999999998</v>
      </c>
      <c r="D4278">
        <v>168.89599942064299</v>
      </c>
      <c r="E4278">
        <v>30.3</v>
      </c>
      <c r="F4278">
        <v>10.344799971032201</v>
      </c>
    </row>
    <row r="4279" spans="1:6" x14ac:dyDescent="0.2">
      <c r="A4279">
        <v>736787.66299999994</v>
      </c>
      <c r="B4279">
        <v>-149.596237</v>
      </c>
      <c r="C4279">
        <v>-17.017461999999998</v>
      </c>
      <c r="D4279">
        <v>168.89599942064299</v>
      </c>
      <c r="E4279">
        <v>30.3</v>
      </c>
      <c r="F4279">
        <v>10.344799971032201</v>
      </c>
    </row>
    <row r="4280" spans="1:6" x14ac:dyDescent="0.2">
      <c r="A4280">
        <v>736787.66299999994</v>
      </c>
      <c r="B4280">
        <v>-149.59622200000001</v>
      </c>
      <c r="C4280">
        <v>-17.017458000000001</v>
      </c>
      <c r="D4280">
        <v>168.89599942064299</v>
      </c>
      <c r="E4280">
        <v>30.3</v>
      </c>
      <c r="F4280">
        <v>10.344799971032201</v>
      </c>
    </row>
    <row r="4281" spans="1:6" x14ac:dyDescent="0.2">
      <c r="A4281">
        <v>736787.66299999994</v>
      </c>
      <c r="B4281">
        <v>-149.59621200000001</v>
      </c>
      <c r="C4281">
        <v>-17.017454000000001</v>
      </c>
      <c r="D4281">
        <v>168.89599942064299</v>
      </c>
      <c r="E4281">
        <v>30.3</v>
      </c>
      <c r="F4281">
        <v>10.344799971032201</v>
      </c>
    </row>
    <row r="4282" spans="1:6" x14ac:dyDescent="0.2">
      <c r="A4282">
        <v>736787.66299999994</v>
      </c>
      <c r="B4282">
        <v>-149.59619900000001</v>
      </c>
      <c r="C4282">
        <v>-17.017451000000001</v>
      </c>
      <c r="D4282">
        <v>168.89599942064299</v>
      </c>
      <c r="E4282">
        <v>30.3</v>
      </c>
      <c r="F4282">
        <v>10.344799971032201</v>
      </c>
    </row>
    <row r="4283" spans="1:6" x14ac:dyDescent="0.2">
      <c r="A4283">
        <v>736787.66310000001</v>
      </c>
      <c r="B4283">
        <v>-149.596182</v>
      </c>
      <c r="C4283">
        <v>-17.017443</v>
      </c>
      <c r="D4283">
        <v>169.00639989378399</v>
      </c>
      <c r="E4283">
        <v>30.3</v>
      </c>
      <c r="F4283">
        <v>10.350319994689199</v>
      </c>
    </row>
    <row r="4284" spans="1:6" x14ac:dyDescent="0.2">
      <c r="A4284">
        <v>736787.66310000001</v>
      </c>
      <c r="B4284">
        <v>-149.596169</v>
      </c>
      <c r="C4284">
        <v>-17.017436</v>
      </c>
      <c r="D4284">
        <v>169.00639989378399</v>
      </c>
      <c r="E4284">
        <v>30.3</v>
      </c>
      <c r="F4284">
        <v>10.350319994689199</v>
      </c>
    </row>
    <row r="4285" spans="1:6" x14ac:dyDescent="0.2">
      <c r="A4285">
        <v>736787.66310000001</v>
      </c>
      <c r="B4285">
        <v>-149.59615099999999</v>
      </c>
      <c r="C4285">
        <v>-17.017434000000002</v>
      </c>
      <c r="D4285">
        <v>169.00639989378399</v>
      </c>
      <c r="E4285">
        <v>30.3</v>
      </c>
      <c r="F4285">
        <v>10.350319994689199</v>
      </c>
    </row>
    <row r="4286" spans="1:6" x14ac:dyDescent="0.2">
      <c r="A4286">
        <v>736787.66310000001</v>
      </c>
      <c r="B4286">
        <v>-149.596138</v>
      </c>
      <c r="C4286">
        <v>-17.017426</v>
      </c>
      <c r="D4286">
        <v>169.00639989378399</v>
      </c>
      <c r="E4286">
        <v>30.3</v>
      </c>
      <c r="F4286">
        <v>10.350319994689199</v>
      </c>
    </row>
    <row r="4287" spans="1:6" x14ac:dyDescent="0.2">
      <c r="A4287">
        <v>736787.66310000001</v>
      </c>
      <c r="B4287">
        <v>-149.596126</v>
      </c>
      <c r="C4287">
        <v>-17.017415</v>
      </c>
      <c r="D4287">
        <v>169.00639989378399</v>
      </c>
      <c r="E4287">
        <v>30.3</v>
      </c>
      <c r="F4287">
        <v>10.350319994689199</v>
      </c>
    </row>
    <row r="4288" spans="1:6" x14ac:dyDescent="0.2">
      <c r="A4288">
        <v>736787.66310000001</v>
      </c>
      <c r="B4288">
        <v>-149.59611000000001</v>
      </c>
      <c r="C4288">
        <v>-17.017406999999999</v>
      </c>
      <c r="D4288">
        <v>169.00639989378399</v>
      </c>
      <c r="E4288">
        <v>30.3</v>
      </c>
      <c r="F4288">
        <v>10.350319994689199</v>
      </c>
    </row>
    <row r="4289" spans="1:6" x14ac:dyDescent="0.2">
      <c r="A4289">
        <v>736787.66310000001</v>
      </c>
      <c r="B4289">
        <v>-149.596104</v>
      </c>
      <c r="C4289">
        <v>-17.017398</v>
      </c>
      <c r="D4289">
        <v>169.00639989378399</v>
      </c>
      <c r="E4289">
        <v>30.3</v>
      </c>
      <c r="F4289">
        <v>10.350319994689199</v>
      </c>
    </row>
    <row r="4290" spans="1:6" x14ac:dyDescent="0.2">
      <c r="A4290">
        <v>736787.66310000001</v>
      </c>
      <c r="B4290">
        <v>-149.59609499999999</v>
      </c>
      <c r="C4290">
        <v>-17.017389999999999</v>
      </c>
      <c r="D4290">
        <v>169.00639989378399</v>
      </c>
      <c r="E4290">
        <v>30.3</v>
      </c>
      <c r="F4290">
        <v>10.350319994689199</v>
      </c>
    </row>
    <row r="4291" spans="1:6" x14ac:dyDescent="0.2">
      <c r="A4291">
        <v>736787.66310000001</v>
      </c>
      <c r="B4291">
        <v>-149.59608</v>
      </c>
      <c r="C4291">
        <v>-17.017384</v>
      </c>
      <c r="D4291">
        <v>169.00639989378399</v>
      </c>
      <c r="E4291">
        <v>30.3</v>
      </c>
      <c r="F4291">
        <v>10.350319994689199</v>
      </c>
    </row>
    <row r="4292" spans="1:6" x14ac:dyDescent="0.2">
      <c r="A4292">
        <v>736787.66319999995</v>
      </c>
      <c r="B4292">
        <v>-149.596069</v>
      </c>
      <c r="C4292">
        <v>-17.017379999999999</v>
      </c>
      <c r="D4292">
        <v>168.8</v>
      </c>
      <c r="E4292">
        <v>30.3</v>
      </c>
      <c r="F4292">
        <v>10.34</v>
      </c>
    </row>
    <row r="4293" spans="1:6" x14ac:dyDescent="0.2">
      <c r="A4293">
        <v>736787.66319999995</v>
      </c>
      <c r="B4293">
        <v>-149.59605400000001</v>
      </c>
      <c r="C4293">
        <v>-17.017378999999998</v>
      </c>
      <c r="D4293">
        <v>168.8</v>
      </c>
      <c r="E4293">
        <v>30.3</v>
      </c>
      <c r="F4293">
        <v>10.34</v>
      </c>
    </row>
    <row r="4294" spans="1:6" x14ac:dyDescent="0.2">
      <c r="A4294">
        <v>736787.66319999995</v>
      </c>
      <c r="B4294">
        <v>-149.596037</v>
      </c>
      <c r="C4294">
        <v>-17.017375999999999</v>
      </c>
      <c r="D4294">
        <v>168.8</v>
      </c>
      <c r="E4294">
        <v>30.3</v>
      </c>
      <c r="F4294">
        <v>10.34</v>
      </c>
    </row>
    <row r="4295" spans="1:6" x14ac:dyDescent="0.2">
      <c r="A4295">
        <v>736787.66319999995</v>
      </c>
      <c r="B4295">
        <v>-149.596023</v>
      </c>
      <c r="C4295">
        <v>-17.017371000000001</v>
      </c>
      <c r="D4295">
        <v>168.8</v>
      </c>
      <c r="E4295">
        <v>30.3</v>
      </c>
      <c r="F4295">
        <v>10.34</v>
      </c>
    </row>
    <row r="4296" spans="1:6" x14ac:dyDescent="0.2">
      <c r="A4296">
        <v>736787.66319999995</v>
      </c>
      <c r="B4296">
        <v>-149.59600800000001</v>
      </c>
      <c r="C4296">
        <v>-17.017368999999999</v>
      </c>
      <c r="D4296">
        <v>168.8</v>
      </c>
      <c r="E4296">
        <v>30.3</v>
      </c>
      <c r="F4296">
        <v>10.34</v>
      </c>
    </row>
    <row r="4297" spans="1:6" x14ac:dyDescent="0.2">
      <c r="A4297">
        <v>736787.66319999995</v>
      </c>
      <c r="B4297">
        <v>-149.59599600000001</v>
      </c>
      <c r="C4297">
        <v>-17.017367</v>
      </c>
      <c r="D4297">
        <v>168.8</v>
      </c>
      <c r="E4297">
        <v>30.3</v>
      </c>
      <c r="F4297">
        <v>10.34</v>
      </c>
    </row>
    <row r="4298" spans="1:6" x14ac:dyDescent="0.2">
      <c r="A4298">
        <v>736787.66319999995</v>
      </c>
      <c r="B4298">
        <v>-149.59598299999999</v>
      </c>
      <c r="C4298">
        <v>-17.017365000000002</v>
      </c>
      <c r="D4298">
        <v>168.8</v>
      </c>
      <c r="E4298">
        <v>30.3</v>
      </c>
      <c r="F4298">
        <v>10.34</v>
      </c>
    </row>
    <row r="4299" spans="1:6" x14ac:dyDescent="0.2">
      <c r="A4299">
        <v>736787.66319999995</v>
      </c>
      <c r="B4299">
        <v>-149.59597099999999</v>
      </c>
      <c r="C4299">
        <v>-17.017363</v>
      </c>
      <c r="D4299">
        <v>168.8</v>
      </c>
      <c r="E4299">
        <v>30.3</v>
      </c>
      <c r="F4299">
        <v>10.34</v>
      </c>
    </row>
    <row r="4300" spans="1:6" x14ac:dyDescent="0.2">
      <c r="A4300">
        <v>736787.66330000001</v>
      </c>
      <c r="B4300">
        <v>-149.59595999999999</v>
      </c>
      <c r="C4300">
        <v>-17.017363</v>
      </c>
      <c r="D4300">
        <v>167.62720019794699</v>
      </c>
      <c r="E4300">
        <v>30.3424000659823</v>
      </c>
      <c r="F4300">
        <v>10.2642400065982</v>
      </c>
    </row>
    <row r="4301" spans="1:6" x14ac:dyDescent="0.2">
      <c r="A4301">
        <v>736787.66330000001</v>
      </c>
      <c r="B4301">
        <v>-149.59594999999999</v>
      </c>
      <c r="C4301">
        <v>-17.017361999999999</v>
      </c>
      <c r="D4301">
        <v>167.62720019794699</v>
      </c>
      <c r="E4301">
        <v>30.3424000659823</v>
      </c>
      <c r="F4301">
        <v>10.2642400065982</v>
      </c>
    </row>
    <row r="4302" spans="1:6" x14ac:dyDescent="0.2">
      <c r="A4302">
        <v>736787.66330000001</v>
      </c>
      <c r="B4302">
        <v>-149.59594000000001</v>
      </c>
      <c r="C4302">
        <v>-17.017361999999999</v>
      </c>
      <c r="D4302">
        <v>167.62720019794699</v>
      </c>
      <c r="E4302">
        <v>30.3424000659823</v>
      </c>
      <c r="F4302">
        <v>10.2642400065982</v>
      </c>
    </row>
    <row r="4303" spans="1:6" x14ac:dyDescent="0.2">
      <c r="A4303">
        <v>736787.66330000001</v>
      </c>
      <c r="B4303">
        <v>-149.595924</v>
      </c>
      <c r="C4303">
        <v>-17.017365000000002</v>
      </c>
      <c r="D4303">
        <v>167.62720019794699</v>
      </c>
      <c r="E4303">
        <v>30.3424000659823</v>
      </c>
      <c r="F4303">
        <v>10.2642400065982</v>
      </c>
    </row>
    <row r="4304" spans="1:6" x14ac:dyDescent="0.2">
      <c r="A4304">
        <v>736787.66330000001</v>
      </c>
      <c r="B4304">
        <v>-149.59590800000001</v>
      </c>
      <c r="C4304">
        <v>-17.017368999999999</v>
      </c>
      <c r="D4304">
        <v>167.62720019794699</v>
      </c>
      <c r="E4304">
        <v>30.3424000659823</v>
      </c>
      <c r="F4304">
        <v>10.2642400065982</v>
      </c>
    </row>
    <row r="4305" spans="1:6" x14ac:dyDescent="0.2">
      <c r="A4305">
        <v>736787.66330000001</v>
      </c>
      <c r="B4305">
        <v>-149.595899</v>
      </c>
      <c r="C4305">
        <v>-17.017372000000002</v>
      </c>
      <c r="D4305">
        <v>167.62720019794699</v>
      </c>
      <c r="E4305">
        <v>30.3424000659823</v>
      </c>
      <c r="F4305">
        <v>10.2642400065982</v>
      </c>
    </row>
    <row r="4306" spans="1:6" x14ac:dyDescent="0.2">
      <c r="A4306">
        <v>736787.66339999996</v>
      </c>
      <c r="B4306">
        <v>-149.59588099999999</v>
      </c>
      <c r="C4306">
        <v>-17.017375999999999</v>
      </c>
      <c r="D4306">
        <v>167.845599695837</v>
      </c>
      <c r="E4306">
        <v>30.4</v>
      </c>
      <c r="F4306">
        <v>10.273039979722499</v>
      </c>
    </row>
    <row r="4307" spans="1:6" x14ac:dyDescent="0.2">
      <c r="A4307">
        <v>736787.66339999996</v>
      </c>
      <c r="B4307">
        <v>-149.595868</v>
      </c>
      <c r="C4307">
        <v>-17.017375000000001</v>
      </c>
      <c r="D4307">
        <v>167.845599695837</v>
      </c>
      <c r="E4307">
        <v>30.4</v>
      </c>
      <c r="F4307">
        <v>10.273039979722499</v>
      </c>
    </row>
    <row r="4308" spans="1:6" x14ac:dyDescent="0.2">
      <c r="A4308">
        <v>736787.66339999996</v>
      </c>
      <c r="B4308">
        <v>-149.59585899999999</v>
      </c>
      <c r="C4308">
        <v>-17.01737</v>
      </c>
      <c r="D4308">
        <v>167.845599695837</v>
      </c>
      <c r="E4308">
        <v>30.4</v>
      </c>
      <c r="F4308">
        <v>10.273039979722499</v>
      </c>
    </row>
    <row r="4309" spans="1:6" x14ac:dyDescent="0.2">
      <c r="A4309">
        <v>736787.66339999996</v>
      </c>
      <c r="B4309">
        <v>-149.59584899999999</v>
      </c>
      <c r="C4309">
        <v>-17.017364000000001</v>
      </c>
      <c r="D4309">
        <v>167.845599695837</v>
      </c>
      <c r="E4309">
        <v>30.4</v>
      </c>
      <c r="F4309">
        <v>10.273039979722499</v>
      </c>
    </row>
    <row r="4310" spans="1:6" x14ac:dyDescent="0.2">
      <c r="A4310">
        <v>736787.66339999996</v>
      </c>
      <c r="B4310">
        <v>-149.59583499999999</v>
      </c>
      <c r="C4310">
        <v>-17.017361999999999</v>
      </c>
      <c r="D4310">
        <v>167.845599695837</v>
      </c>
      <c r="E4310">
        <v>30.4</v>
      </c>
      <c r="F4310">
        <v>10.273039979722499</v>
      </c>
    </row>
    <row r="4311" spans="1:6" x14ac:dyDescent="0.2">
      <c r="A4311">
        <v>736787.66339999996</v>
      </c>
      <c r="B4311">
        <v>-149.59581900000001</v>
      </c>
      <c r="C4311">
        <v>-17.01735</v>
      </c>
      <c r="D4311">
        <v>167.845599695837</v>
      </c>
      <c r="E4311">
        <v>30.4</v>
      </c>
      <c r="F4311">
        <v>10.273039979722499</v>
      </c>
    </row>
    <row r="4312" spans="1:6" x14ac:dyDescent="0.2">
      <c r="A4312">
        <v>736787.66339999996</v>
      </c>
      <c r="B4312">
        <v>-149.59580500000001</v>
      </c>
      <c r="C4312">
        <v>-17.017343</v>
      </c>
      <c r="D4312">
        <v>167.845599695837</v>
      </c>
      <c r="E4312">
        <v>30.4</v>
      </c>
      <c r="F4312">
        <v>10.273039979722499</v>
      </c>
    </row>
    <row r="4313" spans="1:6" x14ac:dyDescent="0.2">
      <c r="A4313">
        <v>736787.66339999996</v>
      </c>
      <c r="B4313">
        <v>-149.59579600000001</v>
      </c>
      <c r="C4313">
        <v>-17.017337999999999</v>
      </c>
      <c r="D4313">
        <v>167.845599695837</v>
      </c>
      <c r="E4313">
        <v>30.4</v>
      </c>
      <c r="F4313">
        <v>10.273039979722499</v>
      </c>
    </row>
    <row r="4314" spans="1:6" x14ac:dyDescent="0.2">
      <c r="A4314">
        <v>736787.66350000002</v>
      </c>
      <c r="B4314">
        <v>-149.595788</v>
      </c>
      <c r="C4314">
        <v>-17.017330999999999</v>
      </c>
      <c r="D4314">
        <v>166.867998986126</v>
      </c>
      <c r="E4314">
        <v>30.311999927580398</v>
      </c>
      <c r="F4314">
        <v>10.219599942064299</v>
      </c>
    </row>
    <row r="4315" spans="1:6" x14ac:dyDescent="0.2">
      <c r="A4315">
        <v>736787.66350000002</v>
      </c>
      <c r="B4315">
        <v>-149.59577200000001</v>
      </c>
      <c r="C4315">
        <v>-17.017323999999999</v>
      </c>
      <c r="D4315">
        <v>166.867998986126</v>
      </c>
      <c r="E4315">
        <v>30.311999927580398</v>
      </c>
      <c r="F4315">
        <v>10.219599942064299</v>
      </c>
    </row>
    <row r="4316" spans="1:6" x14ac:dyDescent="0.2">
      <c r="A4316">
        <v>736787.66350000002</v>
      </c>
      <c r="B4316">
        <v>-149.595752</v>
      </c>
      <c r="C4316">
        <v>-17.017315</v>
      </c>
      <c r="D4316">
        <v>166.867998986126</v>
      </c>
      <c r="E4316">
        <v>30.311999927580398</v>
      </c>
      <c r="F4316">
        <v>10.219599942064299</v>
      </c>
    </row>
    <row r="4317" spans="1:6" x14ac:dyDescent="0.2">
      <c r="A4317">
        <v>736787.66350000002</v>
      </c>
      <c r="B4317">
        <v>-149.59573800000001</v>
      </c>
      <c r="C4317">
        <v>-17.017306999999999</v>
      </c>
      <c r="D4317">
        <v>166.867998986126</v>
      </c>
      <c r="E4317">
        <v>30.311999927580398</v>
      </c>
      <c r="F4317">
        <v>10.219599942064299</v>
      </c>
    </row>
    <row r="4318" spans="1:6" x14ac:dyDescent="0.2">
      <c r="A4318">
        <v>736787.66350000002</v>
      </c>
      <c r="B4318">
        <v>-149.59572900000001</v>
      </c>
      <c r="C4318">
        <v>-17.017296000000002</v>
      </c>
      <c r="D4318">
        <v>166.867998986126</v>
      </c>
      <c r="E4318">
        <v>30.311999927580398</v>
      </c>
      <c r="F4318">
        <v>10.219599942064299</v>
      </c>
    </row>
    <row r="4319" spans="1:6" x14ac:dyDescent="0.2">
      <c r="A4319">
        <v>736787.66350000002</v>
      </c>
      <c r="B4319">
        <v>-149.59571299999999</v>
      </c>
      <c r="C4319">
        <v>-17.017289000000002</v>
      </c>
      <c r="D4319">
        <v>166.867998986126</v>
      </c>
      <c r="E4319">
        <v>30.311999927580398</v>
      </c>
      <c r="F4319">
        <v>10.219599942064299</v>
      </c>
    </row>
    <row r="4320" spans="1:6" x14ac:dyDescent="0.2">
      <c r="A4320">
        <v>736787.66350000002</v>
      </c>
      <c r="B4320">
        <v>-149.595698</v>
      </c>
      <c r="C4320">
        <v>-17.017277</v>
      </c>
      <c r="D4320">
        <v>166.867998986126</v>
      </c>
      <c r="E4320">
        <v>30.311999927580398</v>
      </c>
      <c r="F4320">
        <v>10.219599942064299</v>
      </c>
    </row>
    <row r="4321" spans="1:6" x14ac:dyDescent="0.2">
      <c r="A4321">
        <v>736787.66359999997</v>
      </c>
      <c r="B4321">
        <v>-149.595687</v>
      </c>
      <c r="C4321">
        <v>-17.017267</v>
      </c>
      <c r="D4321">
        <v>166.27440087869101</v>
      </c>
      <c r="E4321">
        <v>30.3</v>
      </c>
      <c r="F4321">
        <v>10.1856800502109</v>
      </c>
    </row>
    <row r="4322" spans="1:6" x14ac:dyDescent="0.2">
      <c r="A4322">
        <v>736787.66359999997</v>
      </c>
      <c r="B4322">
        <v>-149.59567000000001</v>
      </c>
      <c r="C4322">
        <v>-17.017261000000001</v>
      </c>
      <c r="D4322">
        <v>166.27440087869101</v>
      </c>
      <c r="E4322">
        <v>30.3</v>
      </c>
      <c r="F4322">
        <v>10.1856800502109</v>
      </c>
    </row>
    <row r="4323" spans="1:6" x14ac:dyDescent="0.2">
      <c r="A4323">
        <v>736787.66359999997</v>
      </c>
      <c r="B4323">
        <v>-149.59565799999999</v>
      </c>
      <c r="C4323">
        <v>-17.017250000000001</v>
      </c>
      <c r="D4323">
        <v>166.27440087869101</v>
      </c>
      <c r="E4323">
        <v>30.3</v>
      </c>
      <c r="F4323">
        <v>10.1856800502109</v>
      </c>
    </row>
    <row r="4324" spans="1:6" x14ac:dyDescent="0.2">
      <c r="A4324">
        <v>736787.66359999997</v>
      </c>
      <c r="B4324">
        <v>-149.595651</v>
      </c>
      <c r="C4324">
        <v>-17.017237999999999</v>
      </c>
      <c r="D4324">
        <v>166.27440087869101</v>
      </c>
      <c r="E4324">
        <v>30.3</v>
      </c>
      <c r="F4324">
        <v>10.1856800502109</v>
      </c>
    </row>
    <row r="4325" spans="1:6" x14ac:dyDescent="0.2">
      <c r="A4325">
        <v>736787.66359999997</v>
      </c>
      <c r="B4325">
        <v>-149.59563600000001</v>
      </c>
      <c r="C4325">
        <v>-17.017230999999999</v>
      </c>
      <c r="D4325">
        <v>166.27440087869101</v>
      </c>
      <c r="E4325">
        <v>30.3</v>
      </c>
      <c r="F4325">
        <v>10.1856800502109</v>
      </c>
    </row>
    <row r="4326" spans="1:6" x14ac:dyDescent="0.2">
      <c r="A4326">
        <v>736787.66359999997</v>
      </c>
      <c r="B4326">
        <v>-149.59562</v>
      </c>
      <c r="C4326">
        <v>-17.017229</v>
      </c>
      <c r="D4326">
        <v>166.27440087869101</v>
      </c>
      <c r="E4326">
        <v>30.3</v>
      </c>
      <c r="F4326">
        <v>10.1856800502109</v>
      </c>
    </row>
    <row r="4327" spans="1:6" x14ac:dyDescent="0.2">
      <c r="A4327">
        <v>736787.66359999997</v>
      </c>
      <c r="B4327">
        <v>-149.595609</v>
      </c>
      <c r="C4327">
        <v>-17.017223000000001</v>
      </c>
      <c r="D4327">
        <v>166.27440087869101</v>
      </c>
      <c r="E4327">
        <v>30.3</v>
      </c>
      <c r="F4327">
        <v>10.1856800502109</v>
      </c>
    </row>
    <row r="4328" spans="1:6" x14ac:dyDescent="0.2">
      <c r="A4328">
        <v>736787.66359999997</v>
      </c>
      <c r="B4328">
        <v>-149.595598</v>
      </c>
      <c r="C4328">
        <v>-17.017215</v>
      </c>
      <c r="D4328">
        <v>166.27440087869101</v>
      </c>
      <c r="E4328">
        <v>30.3</v>
      </c>
      <c r="F4328">
        <v>10.1856800502109</v>
      </c>
    </row>
    <row r="4329" spans="1:6" x14ac:dyDescent="0.2">
      <c r="A4329">
        <v>736787.66359999997</v>
      </c>
      <c r="B4329">
        <v>-149.595585</v>
      </c>
      <c r="C4329">
        <v>-17.017209999999999</v>
      </c>
      <c r="D4329">
        <v>166.27440087869101</v>
      </c>
      <c r="E4329">
        <v>30.3</v>
      </c>
      <c r="F4329">
        <v>10.1856800502109</v>
      </c>
    </row>
    <row r="4330" spans="1:6" x14ac:dyDescent="0.2">
      <c r="A4330">
        <v>736787.66370000003</v>
      </c>
      <c r="B4330">
        <v>-149.595574</v>
      </c>
      <c r="C4330">
        <v>-17.017204</v>
      </c>
      <c r="D4330">
        <v>164.7</v>
      </c>
      <c r="E4330">
        <v>30.266399921143101</v>
      </c>
      <c r="F4330">
        <v>10.1</v>
      </c>
    </row>
    <row r="4331" spans="1:6" x14ac:dyDescent="0.2">
      <c r="A4331">
        <v>736787.66370000003</v>
      </c>
      <c r="B4331">
        <v>-149.59556000000001</v>
      </c>
      <c r="C4331">
        <v>-17.017195999999998</v>
      </c>
      <c r="D4331">
        <v>164.7</v>
      </c>
      <c r="E4331">
        <v>30.266399921143101</v>
      </c>
      <c r="F4331">
        <v>10.1</v>
      </c>
    </row>
    <row r="4332" spans="1:6" x14ac:dyDescent="0.2">
      <c r="A4332">
        <v>736787.66370000003</v>
      </c>
      <c r="B4332">
        <v>-149.595551</v>
      </c>
      <c r="C4332">
        <v>-17.017192000000001</v>
      </c>
      <c r="D4332">
        <v>164.7</v>
      </c>
      <c r="E4332">
        <v>30.266399921143101</v>
      </c>
      <c r="F4332">
        <v>10.1</v>
      </c>
    </row>
    <row r="4333" spans="1:6" x14ac:dyDescent="0.2">
      <c r="A4333">
        <v>736787.66370000003</v>
      </c>
      <c r="B4333">
        <v>-149.595539</v>
      </c>
      <c r="C4333">
        <v>-17.017189999999999</v>
      </c>
      <c r="D4333">
        <v>164.7</v>
      </c>
      <c r="E4333">
        <v>30.266399921143101</v>
      </c>
      <c r="F4333">
        <v>10.1</v>
      </c>
    </row>
    <row r="4334" spans="1:6" x14ac:dyDescent="0.2">
      <c r="A4334">
        <v>736787.66370000003</v>
      </c>
      <c r="B4334">
        <v>-149.59552400000001</v>
      </c>
      <c r="C4334">
        <v>-17.017184</v>
      </c>
      <c r="D4334">
        <v>164.7</v>
      </c>
      <c r="E4334">
        <v>30.266399921143101</v>
      </c>
      <c r="F4334">
        <v>10.1</v>
      </c>
    </row>
    <row r="4335" spans="1:6" x14ac:dyDescent="0.2">
      <c r="A4335">
        <v>736787.66370000003</v>
      </c>
      <c r="B4335">
        <v>-149.59551500000001</v>
      </c>
      <c r="C4335">
        <v>-17.017178000000001</v>
      </c>
      <c r="D4335">
        <v>164.7</v>
      </c>
      <c r="E4335">
        <v>30.266399921143101</v>
      </c>
      <c r="F4335">
        <v>10.1</v>
      </c>
    </row>
    <row r="4336" spans="1:6" x14ac:dyDescent="0.2">
      <c r="A4336">
        <v>736787.66370000003</v>
      </c>
      <c r="B4336">
        <v>-149.59550200000001</v>
      </c>
      <c r="C4336">
        <v>-17.017177</v>
      </c>
      <c r="D4336">
        <v>164.7</v>
      </c>
      <c r="E4336">
        <v>30.266399921143101</v>
      </c>
      <c r="F4336">
        <v>10.1</v>
      </c>
    </row>
    <row r="4337" spans="1:6" x14ac:dyDescent="0.2">
      <c r="A4337">
        <v>736787.66370000003</v>
      </c>
      <c r="B4337">
        <v>-149.59548599999999</v>
      </c>
      <c r="C4337">
        <v>-17.017171000000001</v>
      </c>
      <c r="D4337">
        <v>164.7</v>
      </c>
      <c r="E4337">
        <v>30.266399921143101</v>
      </c>
      <c r="F4337">
        <v>10.1</v>
      </c>
    </row>
    <row r="4338" spans="1:6" x14ac:dyDescent="0.2">
      <c r="A4338">
        <v>736787.66379999998</v>
      </c>
      <c r="B4338">
        <v>-149.595473</v>
      </c>
      <c r="C4338">
        <v>-17.017166</v>
      </c>
      <c r="D4338">
        <v>163.06800053107801</v>
      </c>
      <c r="E4338">
        <v>30.2</v>
      </c>
      <c r="F4338">
        <v>9.9980800318646903</v>
      </c>
    </row>
    <row r="4339" spans="1:6" x14ac:dyDescent="0.2">
      <c r="A4339">
        <v>736787.66379999998</v>
      </c>
      <c r="B4339">
        <v>-149.59545700000001</v>
      </c>
      <c r="C4339">
        <v>-17.017163</v>
      </c>
      <c r="D4339">
        <v>163.06800053107801</v>
      </c>
      <c r="E4339">
        <v>30.2</v>
      </c>
      <c r="F4339">
        <v>9.9980800318646903</v>
      </c>
    </row>
    <row r="4340" spans="1:6" x14ac:dyDescent="0.2">
      <c r="A4340">
        <v>736787.66379999998</v>
      </c>
      <c r="B4340">
        <v>-149.59544500000001</v>
      </c>
      <c r="C4340">
        <v>-17.017157000000001</v>
      </c>
      <c r="D4340">
        <v>163.06800053107801</v>
      </c>
      <c r="E4340">
        <v>30.2</v>
      </c>
      <c r="F4340">
        <v>9.9980800318646903</v>
      </c>
    </row>
    <row r="4341" spans="1:6" x14ac:dyDescent="0.2">
      <c r="A4341">
        <v>736787.66379999998</v>
      </c>
      <c r="B4341">
        <v>-149.59543300000001</v>
      </c>
      <c r="C4341">
        <v>-17.017149</v>
      </c>
      <c r="D4341">
        <v>163.06800053107801</v>
      </c>
      <c r="E4341">
        <v>30.2</v>
      </c>
      <c r="F4341">
        <v>9.9980800318646903</v>
      </c>
    </row>
    <row r="4342" spans="1:6" x14ac:dyDescent="0.2">
      <c r="A4342">
        <v>736787.66379999998</v>
      </c>
      <c r="B4342">
        <v>-149.59541999999999</v>
      </c>
      <c r="C4342">
        <v>-17.017140000000001</v>
      </c>
      <c r="D4342">
        <v>163.06800053107801</v>
      </c>
      <c r="E4342">
        <v>30.2</v>
      </c>
      <c r="F4342">
        <v>9.9980800318646903</v>
      </c>
    </row>
    <row r="4343" spans="1:6" x14ac:dyDescent="0.2">
      <c r="A4343">
        <v>736787.66379999998</v>
      </c>
      <c r="B4343">
        <v>-149.59540699999999</v>
      </c>
      <c r="C4343">
        <v>-17.017130999999999</v>
      </c>
      <c r="D4343">
        <v>163.06800053107801</v>
      </c>
      <c r="E4343">
        <v>30.2</v>
      </c>
      <c r="F4343">
        <v>9.9980800318646903</v>
      </c>
    </row>
    <row r="4344" spans="1:6" x14ac:dyDescent="0.2">
      <c r="A4344">
        <v>736787.66379999998</v>
      </c>
      <c r="B4344">
        <v>-149.59539599999999</v>
      </c>
      <c r="C4344">
        <v>-17.017123000000002</v>
      </c>
      <c r="D4344">
        <v>163.06800053107801</v>
      </c>
      <c r="E4344">
        <v>30.2</v>
      </c>
      <c r="F4344">
        <v>9.9980800318646903</v>
      </c>
    </row>
    <row r="4345" spans="1:6" x14ac:dyDescent="0.2">
      <c r="A4345">
        <v>736787.66379999998</v>
      </c>
      <c r="B4345">
        <v>-149.595384</v>
      </c>
      <c r="C4345">
        <v>-17.017113999999999</v>
      </c>
      <c r="D4345">
        <v>163.06800053107801</v>
      </c>
      <c r="E4345">
        <v>30.2</v>
      </c>
      <c r="F4345">
        <v>9.9980800318646903</v>
      </c>
    </row>
    <row r="4346" spans="1:6" x14ac:dyDescent="0.2">
      <c r="A4346">
        <v>736787.66390000004</v>
      </c>
      <c r="B4346">
        <v>-149.595373</v>
      </c>
      <c r="C4346">
        <v>-17.017108</v>
      </c>
      <c r="D4346">
        <v>163.07520051176499</v>
      </c>
      <c r="E4346">
        <v>30.2792000852942</v>
      </c>
      <c r="F4346">
        <v>10.001680034117699</v>
      </c>
    </row>
    <row r="4347" spans="1:6" x14ac:dyDescent="0.2">
      <c r="A4347">
        <v>736787.66390000004</v>
      </c>
      <c r="B4347">
        <v>-149.59535199999999</v>
      </c>
      <c r="C4347">
        <v>-17.017098000000001</v>
      </c>
      <c r="D4347">
        <v>163.07520051176499</v>
      </c>
      <c r="E4347">
        <v>30.2792000852942</v>
      </c>
      <c r="F4347">
        <v>10.001680034117699</v>
      </c>
    </row>
    <row r="4348" spans="1:6" x14ac:dyDescent="0.2">
      <c r="A4348">
        <v>736787.66390000004</v>
      </c>
      <c r="B4348">
        <v>-149.59534199999999</v>
      </c>
      <c r="C4348">
        <v>-17.017092999999999</v>
      </c>
      <c r="D4348">
        <v>163.07520051176499</v>
      </c>
      <c r="E4348">
        <v>30.2792000852942</v>
      </c>
      <c r="F4348">
        <v>10.001680034117699</v>
      </c>
    </row>
    <row r="4349" spans="1:6" x14ac:dyDescent="0.2">
      <c r="A4349">
        <v>736787.66390000004</v>
      </c>
      <c r="B4349">
        <v>-149.59532899999999</v>
      </c>
      <c r="C4349">
        <v>-17.017091000000001</v>
      </c>
      <c r="D4349">
        <v>163.07520051176499</v>
      </c>
      <c r="E4349">
        <v>30.2792000852942</v>
      </c>
      <c r="F4349">
        <v>10.001680034117699</v>
      </c>
    </row>
    <row r="4350" spans="1:6" x14ac:dyDescent="0.2">
      <c r="A4350">
        <v>736787.66390000004</v>
      </c>
      <c r="B4350">
        <v>-149.59531699999999</v>
      </c>
      <c r="C4350">
        <v>-17.017088999999999</v>
      </c>
      <c r="D4350">
        <v>163.07520051176499</v>
      </c>
      <c r="E4350">
        <v>30.2792000852942</v>
      </c>
      <c r="F4350">
        <v>10.001680034117699</v>
      </c>
    </row>
    <row r="4351" spans="1:6" x14ac:dyDescent="0.2">
      <c r="A4351">
        <v>736787.66390000004</v>
      </c>
      <c r="B4351">
        <v>-149.59529900000001</v>
      </c>
      <c r="C4351">
        <v>-17.017074000000001</v>
      </c>
      <c r="D4351">
        <v>163.07520051176499</v>
      </c>
      <c r="E4351">
        <v>30.2792000852942</v>
      </c>
      <c r="F4351">
        <v>10.001680034117699</v>
      </c>
    </row>
    <row r="4352" spans="1:6" x14ac:dyDescent="0.2">
      <c r="A4352">
        <v>736787.66390000004</v>
      </c>
      <c r="B4352">
        <v>-149.59528499999999</v>
      </c>
      <c r="C4352">
        <v>-17.017067999999998</v>
      </c>
      <c r="D4352">
        <v>163.07520051176499</v>
      </c>
      <c r="E4352">
        <v>30.2792000852942</v>
      </c>
      <c r="F4352">
        <v>10.001680034117699</v>
      </c>
    </row>
    <row r="4353" spans="1:6" x14ac:dyDescent="0.2">
      <c r="A4353">
        <v>736787.66399999999</v>
      </c>
      <c r="B4353">
        <v>-149.595269</v>
      </c>
      <c r="C4353">
        <v>-17.017054999999999</v>
      </c>
      <c r="D4353">
        <v>163.615999935627</v>
      </c>
      <c r="E4353">
        <v>30.3</v>
      </c>
      <c r="F4353">
        <v>10.025999995976701</v>
      </c>
    </row>
    <row r="4354" spans="1:6" x14ac:dyDescent="0.2">
      <c r="A4354">
        <v>736787.66399999999</v>
      </c>
      <c r="B4354">
        <v>-149.59525500000001</v>
      </c>
      <c r="C4354">
        <v>-17.017049</v>
      </c>
      <c r="D4354">
        <v>163.615999935627</v>
      </c>
      <c r="E4354">
        <v>30.3</v>
      </c>
      <c r="F4354">
        <v>10.025999995976701</v>
      </c>
    </row>
    <row r="4355" spans="1:6" x14ac:dyDescent="0.2">
      <c r="A4355">
        <v>736787.66399999999</v>
      </c>
      <c r="B4355">
        <v>-149.595247</v>
      </c>
      <c r="C4355">
        <v>-17.017043999999999</v>
      </c>
      <c r="D4355">
        <v>163.615999935627</v>
      </c>
      <c r="E4355">
        <v>30.3</v>
      </c>
      <c r="F4355">
        <v>10.025999995976701</v>
      </c>
    </row>
    <row r="4356" spans="1:6" x14ac:dyDescent="0.2">
      <c r="A4356">
        <v>736787.66399999999</v>
      </c>
      <c r="B4356">
        <v>-149.595235</v>
      </c>
      <c r="C4356">
        <v>-17.017036999999998</v>
      </c>
      <c r="D4356">
        <v>163.615999935627</v>
      </c>
      <c r="E4356">
        <v>30.3</v>
      </c>
      <c r="F4356">
        <v>10.025999995976701</v>
      </c>
    </row>
    <row r="4357" spans="1:6" x14ac:dyDescent="0.2">
      <c r="A4357">
        <v>736787.66399999999</v>
      </c>
      <c r="B4357">
        <v>-149.59522000000001</v>
      </c>
      <c r="C4357">
        <v>-17.017028</v>
      </c>
      <c r="D4357">
        <v>163.615999935627</v>
      </c>
      <c r="E4357">
        <v>30.3</v>
      </c>
      <c r="F4357">
        <v>10.025999995976701</v>
      </c>
    </row>
    <row r="4358" spans="1:6" x14ac:dyDescent="0.2">
      <c r="A4358">
        <v>736787.66399999999</v>
      </c>
      <c r="B4358">
        <v>-149.595201</v>
      </c>
      <c r="C4358">
        <v>-17.017018</v>
      </c>
      <c r="D4358">
        <v>163.615999935627</v>
      </c>
      <c r="E4358">
        <v>30.3</v>
      </c>
      <c r="F4358">
        <v>10.025999995976701</v>
      </c>
    </row>
    <row r="4359" spans="1:6" x14ac:dyDescent="0.2">
      <c r="A4359">
        <v>736787.66410000005</v>
      </c>
      <c r="B4359">
        <v>-149.59518399999999</v>
      </c>
      <c r="C4359">
        <v>-17.017008000000001</v>
      </c>
      <c r="D4359">
        <v>165</v>
      </c>
      <c r="E4359">
        <v>30.3</v>
      </c>
      <c r="F4359">
        <v>10.11</v>
      </c>
    </row>
    <row r="4360" spans="1:6" x14ac:dyDescent="0.2">
      <c r="A4360">
        <v>736787.66410000005</v>
      </c>
      <c r="B4360">
        <v>-149.59517399999999</v>
      </c>
      <c r="C4360">
        <v>-17.017001</v>
      </c>
      <c r="D4360">
        <v>165</v>
      </c>
      <c r="E4360">
        <v>30.3</v>
      </c>
      <c r="F4360">
        <v>10.11</v>
      </c>
    </row>
    <row r="4361" spans="1:6" x14ac:dyDescent="0.2">
      <c r="A4361">
        <v>736787.66410000005</v>
      </c>
      <c r="B4361">
        <v>-149.59516099999999</v>
      </c>
      <c r="C4361">
        <v>-17.016994</v>
      </c>
      <c r="D4361">
        <v>165</v>
      </c>
      <c r="E4361">
        <v>30.3</v>
      </c>
      <c r="F4361">
        <v>10.11</v>
      </c>
    </row>
    <row r="4362" spans="1:6" x14ac:dyDescent="0.2">
      <c r="A4362">
        <v>736787.66410000005</v>
      </c>
      <c r="B4362">
        <v>-149.59514799999999</v>
      </c>
      <c r="C4362">
        <v>-17.016987</v>
      </c>
      <c r="D4362">
        <v>165</v>
      </c>
      <c r="E4362">
        <v>30.3</v>
      </c>
      <c r="F4362">
        <v>10.11</v>
      </c>
    </row>
    <row r="4363" spans="1:6" x14ac:dyDescent="0.2">
      <c r="A4363">
        <v>736787.66410000005</v>
      </c>
      <c r="B4363">
        <v>-149.595135</v>
      </c>
      <c r="C4363">
        <v>-17.016983</v>
      </c>
      <c r="D4363">
        <v>165</v>
      </c>
      <c r="E4363">
        <v>30.3</v>
      </c>
      <c r="F4363">
        <v>10.11</v>
      </c>
    </row>
    <row r="4364" spans="1:6" x14ac:dyDescent="0.2">
      <c r="A4364">
        <v>736787.66410000005</v>
      </c>
      <c r="B4364">
        <v>-149.595124</v>
      </c>
      <c r="C4364">
        <v>-17.016977000000001</v>
      </c>
      <c r="D4364">
        <v>165</v>
      </c>
      <c r="E4364">
        <v>30.3</v>
      </c>
      <c r="F4364">
        <v>10.11</v>
      </c>
    </row>
    <row r="4365" spans="1:6" x14ac:dyDescent="0.2">
      <c r="A4365">
        <v>736787.66410000005</v>
      </c>
      <c r="B4365">
        <v>-149.595113</v>
      </c>
      <c r="C4365">
        <v>-17.016971000000002</v>
      </c>
      <c r="D4365">
        <v>165</v>
      </c>
      <c r="E4365">
        <v>30.3</v>
      </c>
      <c r="F4365">
        <v>10.11</v>
      </c>
    </row>
    <row r="4366" spans="1:6" x14ac:dyDescent="0.2">
      <c r="A4366">
        <v>736787.66410000005</v>
      </c>
      <c r="B4366">
        <v>-149.59509800000001</v>
      </c>
      <c r="C4366">
        <v>-17.016967999999999</v>
      </c>
      <c r="D4366">
        <v>165</v>
      </c>
      <c r="E4366">
        <v>30.3</v>
      </c>
      <c r="F4366">
        <v>10.11</v>
      </c>
    </row>
    <row r="4367" spans="1:6" x14ac:dyDescent="0.2">
      <c r="A4367">
        <v>736787.66410000005</v>
      </c>
      <c r="B4367">
        <v>-149.595088</v>
      </c>
      <c r="C4367">
        <v>-17.016964000000002</v>
      </c>
      <c r="D4367">
        <v>165</v>
      </c>
      <c r="E4367">
        <v>30.3</v>
      </c>
      <c r="F4367">
        <v>10.11</v>
      </c>
    </row>
    <row r="4368" spans="1:6" x14ac:dyDescent="0.2">
      <c r="A4368">
        <v>736787.6642</v>
      </c>
      <c r="B4368">
        <v>-149.59507300000001</v>
      </c>
      <c r="C4368">
        <v>-17.016957999999999</v>
      </c>
      <c r="D4368">
        <v>165.48800045061199</v>
      </c>
      <c r="E4368">
        <v>30.3</v>
      </c>
      <c r="F4368">
        <v>10.139280027036699</v>
      </c>
    </row>
    <row r="4369" spans="1:6" x14ac:dyDescent="0.2">
      <c r="A4369">
        <v>736787.6642</v>
      </c>
      <c r="B4369">
        <v>-149.595055</v>
      </c>
      <c r="C4369">
        <v>-17.016952</v>
      </c>
      <c r="D4369">
        <v>165.48800045061199</v>
      </c>
      <c r="E4369">
        <v>30.3</v>
      </c>
      <c r="F4369">
        <v>10.139280027036699</v>
      </c>
    </row>
    <row r="4370" spans="1:6" x14ac:dyDescent="0.2">
      <c r="A4370">
        <v>736787.6642</v>
      </c>
      <c r="B4370">
        <v>-149.595045</v>
      </c>
      <c r="C4370">
        <v>-17.016947999999999</v>
      </c>
      <c r="D4370">
        <v>165.48800045061199</v>
      </c>
      <c r="E4370">
        <v>30.3</v>
      </c>
      <c r="F4370">
        <v>10.139280027036699</v>
      </c>
    </row>
    <row r="4371" spans="1:6" x14ac:dyDescent="0.2">
      <c r="A4371">
        <v>736787.6642</v>
      </c>
      <c r="B4371">
        <v>-149.595034</v>
      </c>
      <c r="C4371">
        <v>-17.016946000000001</v>
      </c>
      <c r="D4371">
        <v>165.48800045061199</v>
      </c>
      <c r="E4371">
        <v>30.3</v>
      </c>
      <c r="F4371">
        <v>10.139280027036699</v>
      </c>
    </row>
    <row r="4372" spans="1:6" x14ac:dyDescent="0.2">
      <c r="A4372">
        <v>736787.6642</v>
      </c>
      <c r="B4372">
        <v>-149.595021</v>
      </c>
      <c r="C4372">
        <v>-17.016940000000002</v>
      </c>
      <c r="D4372">
        <v>165.48800045061199</v>
      </c>
      <c r="E4372">
        <v>30.3</v>
      </c>
      <c r="F4372">
        <v>10.139280027036699</v>
      </c>
    </row>
    <row r="4373" spans="1:6" x14ac:dyDescent="0.2">
      <c r="A4373">
        <v>736787.6642</v>
      </c>
      <c r="B4373">
        <v>-149.59500700000001</v>
      </c>
      <c r="C4373">
        <v>-17.016935</v>
      </c>
      <c r="D4373">
        <v>165.48800045061199</v>
      </c>
      <c r="E4373">
        <v>30.3</v>
      </c>
      <c r="F4373">
        <v>10.139280027036699</v>
      </c>
    </row>
    <row r="4374" spans="1:6" x14ac:dyDescent="0.2">
      <c r="A4374">
        <v>736787.6642</v>
      </c>
      <c r="B4374">
        <v>-149.594998</v>
      </c>
      <c r="C4374">
        <v>-17.016929000000001</v>
      </c>
      <c r="D4374">
        <v>165.48800045061199</v>
      </c>
      <c r="E4374">
        <v>30.3</v>
      </c>
      <c r="F4374">
        <v>10.139280027036699</v>
      </c>
    </row>
    <row r="4375" spans="1:6" x14ac:dyDescent="0.2">
      <c r="A4375">
        <v>736787.6642</v>
      </c>
      <c r="B4375">
        <v>-149.594989</v>
      </c>
      <c r="C4375">
        <v>-17.016925000000001</v>
      </c>
      <c r="D4375">
        <v>165.48800045061199</v>
      </c>
      <c r="E4375">
        <v>30.3</v>
      </c>
      <c r="F4375">
        <v>10.139280027036699</v>
      </c>
    </row>
    <row r="4376" spans="1:6" x14ac:dyDescent="0.2">
      <c r="A4376">
        <v>736787.6642</v>
      </c>
      <c r="B4376">
        <v>-149.59497400000001</v>
      </c>
      <c r="C4376">
        <v>-17.016922999999998</v>
      </c>
      <c r="D4376">
        <v>165.48800045061199</v>
      </c>
      <c r="E4376">
        <v>30.3</v>
      </c>
      <c r="F4376">
        <v>10.139280027036699</v>
      </c>
    </row>
    <row r="4377" spans="1:6" x14ac:dyDescent="0.2">
      <c r="A4377">
        <v>736787.66429999995</v>
      </c>
      <c r="B4377">
        <v>-149.59496300000001</v>
      </c>
      <c r="C4377">
        <v>-17.016919999999999</v>
      </c>
      <c r="D4377">
        <v>166.3</v>
      </c>
      <c r="E4377">
        <v>30.3703998970032</v>
      </c>
      <c r="F4377">
        <v>10.1829600102997</v>
      </c>
    </row>
    <row r="4378" spans="1:6" x14ac:dyDescent="0.2">
      <c r="A4378">
        <v>736787.66429999995</v>
      </c>
      <c r="B4378">
        <v>-149.594953</v>
      </c>
      <c r="C4378">
        <v>-17.016915000000001</v>
      </c>
      <c r="D4378">
        <v>166.3</v>
      </c>
      <c r="E4378">
        <v>30.3703998970032</v>
      </c>
      <c r="F4378">
        <v>10.1829600102997</v>
      </c>
    </row>
    <row r="4379" spans="1:6" x14ac:dyDescent="0.2">
      <c r="A4379">
        <v>736787.66429999995</v>
      </c>
      <c r="B4379">
        <v>-149.59494000000001</v>
      </c>
      <c r="C4379">
        <v>-17.016909999999999</v>
      </c>
      <c r="D4379">
        <v>166.3</v>
      </c>
      <c r="E4379">
        <v>30.3703998970032</v>
      </c>
      <c r="F4379">
        <v>10.1829600102997</v>
      </c>
    </row>
    <row r="4380" spans="1:6" x14ac:dyDescent="0.2">
      <c r="A4380">
        <v>736787.66429999995</v>
      </c>
      <c r="B4380">
        <v>-149.59492900000001</v>
      </c>
      <c r="C4380">
        <v>-17.016902999999999</v>
      </c>
      <c r="D4380">
        <v>166.3</v>
      </c>
      <c r="E4380">
        <v>30.3703998970032</v>
      </c>
      <c r="F4380">
        <v>10.1829600102997</v>
      </c>
    </row>
    <row r="4381" spans="1:6" x14ac:dyDescent="0.2">
      <c r="A4381">
        <v>736787.66429999995</v>
      </c>
      <c r="B4381">
        <v>-149.59491800000001</v>
      </c>
      <c r="C4381">
        <v>-17.016898000000001</v>
      </c>
      <c r="D4381">
        <v>166.3</v>
      </c>
      <c r="E4381">
        <v>30.3703998970032</v>
      </c>
      <c r="F4381">
        <v>10.1829600102997</v>
      </c>
    </row>
    <row r="4382" spans="1:6" x14ac:dyDescent="0.2">
      <c r="A4382">
        <v>736787.66429999995</v>
      </c>
      <c r="B4382">
        <v>-149.594908</v>
      </c>
      <c r="C4382">
        <v>-17.016893</v>
      </c>
      <c r="D4382">
        <v>166.3</v>
      </c>
      <c r="E4382">
        <v>30.3703998970032</v>
      </c>
      <c r="F4382">
        <v>10.1829600102997</v>
      </c>
    </row>
    <row r="4383" spans="1:6" x14ac:dyDescent="0.2">
      <c r="A4383">
        <v>736787.66429999995</v>
      </c>
      <c r="B4383">
        <v>-149.59489600000001</v>
      </c>
      <c r="C4383">
        <v>-17.016888000000002</v>
      </c>
      <c r="D4383">
        <v>166.3</v>
      </c>
      <c r="E4383">
        <v>30.3703998970032</v>
      </c>
      <c r="F4383">
        <v>10.1829600102997</v>
      </c>
    </row>
    <row r="4384" spans="1:6" x14ac:dyDescent="0.2">
      <c r="A4384">
        <v>736787.66429999995</v>
      </c>
      <c r="B4384">
        <v>-149.59488400000001</v>
      </c>
      <c r="C4384">
        <v>-17.016881000000001</v>
      </c>
      <c r="D4384">
        <v>166.3</v>
      </c>
      <c r="E4384">
        <v>30.3703998970032</v>
      </c>
      <c r="F4384">
        <v>10.1829600102997</v>
      </c>
    </row>
    <row r="4385" spans="1:6" x14ac:dyDescent="0.2">
      <c r="A4385">
        <v>736787.66440000001</v>
      </c>
      <c r="B4385">
        <v>-149.594876</v>
      </c>
      <c r="C4385">
        <v>-17.016874999999999</v>
      </c>
      <c r="D4385">
        <v>166.70239990987801</v>
      </c>
      <c r="E4385">
        <v>30.4</v>
      </c>
      <c r="F4385">
        <v>10.2072799948502</v>
      </c>
    </row>
    <row r="4386" spans="1:6" x14ac:dyDescent="0.2">
      <c r="A4386">
        <v>736787.66440000001</v>
      </c>
      <c r="B4386">
        <v>-149.594866</v>
      </c>
      <c r="C4386">
        <v>-17.016870000000001</v>
      </c>
      <c r="D4386">
        <v>166.70239990987801</v>
      </c>
      <c r="E4386">
        <v>30.4</v>
      </c>
      <c r="F4386">
        <v>10.2072799948502</v>
      </c>
    </row>
    <row r="4387" spans="1:6" x14ac:dyDescent="0.2">
      <c r="A4387">
        <v>736787.66440000001</v>
      </c>
      <c r="B4387">
        <v>-149.594853</v>
      </c>
      <c r="C4387">
        <v>-17.016866</v>
      </c>
      <c r="D4387">
        <v>166.70239990987801</v>
      </c>
      <c r="E4387">
        <v>30.4</v>
      </c>
      <c r="F4387">
        <v>10.2072799948502</v>
      </c>
    </row>
    <row r="4388" spans="1:6" x14ac:dyDescent="0.2">
      <c r="A4388">
        <v>736787.66440000001</v>
      </c>
      <c r="B4388">
        <v>-149.594842</v>
      </c>
      <c r="C4388">
        <v>-17.016863000000001</v>
      </c>
      <c r="D4388">
        <v>166.70239990987801</v>
      </c>
      <c r="E4388">
        <v>30.4</v>
      </c>
      <c r="F4388">
        <v>10.2072799948502</v>
      </c>
    </row>
    <row r="4389" spans="1:6" x14ac:dyDescent="0.2">
      <c r="A4389">
        <v>736787.66440000001</v>
      </c>
      <c r="B4389">
        <v>-149.59482800000001</v>
      </c>
      <c r="C4389">
        <v>-17.016857000000002</v>
      </c>
      <c r="D4389">
        <v>166.70239990987801</v>
      </c>
      <c r="E4389">
        <v>30.4</v>
      </c>
      <c r="F4389">
        <v>10.2072799948502</v>
      </c>
    </row>
    <row r="4390" spans="1:6" x14ac:dyDescent="0.2">
      <c r="A4390">
        <v>736787.66440000001</v>
      </c>
      <c r="B4390">
        <v>-149.59481099999999</v>
      </c>
      <c r="C4390">
        <v>-17.016853000000001</v>
      </c>
      <c r="D4390">
        <v>166.70239990987801</v>
      </c>
      <c r="E4390">
        <v>30.4</v>
      </c>
      <c r="F4390">
        <v>10.2072799948502</v>
      </c>
    </row>
    <row r="4391" spans="1:6" x14ac:dyDescent="0.2">
      <c r="A4391">
        <v>736787.66440000001</v>
      </c>
      <c r="B4391">
        <v>-149.59480099999999</v>
      </c>
      <c r="C4391">
        <v>-17.016848</v>
      </c>
      <c r="D4391">
        <v>166.70239990987801</v>
      </c>
      <c r="E4391">
        <v>30.4</v>
      </c>
      <c r="F4391">
        <v>10.2072799948502</v>
      </c>
    </row>
    <row r="4392" spans="1:6" x14ac:dyDescent="0.2">
      <c r="A4392">
        <v>736787.66449999996</v>
      </c>
      <c r="B4392">
        <v>-149.59479200000001</v>
      </c>
      <c r="C4392">
        <v>-17.016845</v>
      </c>
      <c r="D4392">
        <v>167.05200028967801</v>
      </c>
      <c r="E4392">
        <v>30.4</v>
      </c>
      <c r="F4392">
        <v>10.216800019311901</v>
      </c>
    </row>
    <row r="4393" spans="1:6" x14ac:dyDescent="0.2">
      <c r="A4393">
        <v>736787.66449999996</v>
      </c>
      <c r="B4393">
        <v>-149.59478200000001</v>
      </c>
      <c r="C4393">
        <v>-17.016840999999999</v>
      </c>
      <c r="D4393">
        <v>167.05200028967801</v>
      </c>
      <c r="E4393">
        <v>30.4</v>
      </c>
      <c r="F4393">
        <v>10.216800019311901</v>
      </c>
    </row>
    <row r="4394" spans="1:6" x14ac:dyDescent="0.2">
      <c r="A4394">
        <v>736787.66449999996</v>
      </c>
      <c r="B4394">
        <v>-149.59477100000001</v>
      </c>
      <c r="C4394">
        <v>-17.016836000000001</v>
      </c>
      <c r="D4394">
        <v>167.05200028967801</v>
      </c>
      <c r="E4394">
        <v>30.4</v>
      </c>
      <c r="F4394">
        <v>10.216800019311901</v>
      </c>
    </row>
    <row r="4395" spans="1:6" x14ac:dyDescent="0.2">
      <c r="A4395">
        <v>736787.66449999996</v>
      </c>
      <c r="B4395">
        <v>-149.59475699999999</v>
      </c>
      <c r="C4395">
        <v>-17.016831</v>
      </c>
      <c r="D4395">
        <v>167.05200028967801</v>
      </c>
      <c r="E4395">
        <v>30.4</v>
      </c>
      <c r="F4395">
        <v>10.216800019311901</v>
      </c>
    </row>
    <row r="4396" spans="1:6" x14ac:dyDescent="0.2">
      <c r="A4396">
        <v>736787.66449999996</v>
      </c>
      <c r="B4396">
        <v>-149.59474700000001</v>
      </c>
      <c r="C4396">
        <v>-17.016825999999998</v>
      </c>
      <c r="D4396">
        <v>167.05200028967801</v>
      </c>
      <c r="E4396">
        <v>30.4</v>
      </c>
      <c r="F4396">
        <v>10.216800019311901</v>
      </c>
    </row>
    <row r="4397" spans="1:6" x14ac:dyDescent="0.2">
      <c r="A4397">
        <v>736787.66449999996</v>
      </c>
      <c r="B4397">
        <v>-149.59473600000001</v>
      </c>
      <c r="C4397">
        <v>-17.016822000000001</v>
      </c>
      <c r="D4397">
        <v>167.05200028967801</v>
      </c>
      <c r="E4397">
        <v>30.4</v>
      </c>
      <c r="F4397">
        <v>10.216800019311901</v>
      </c>
    </row>
    <row r="4398" spans="1:6" x14ac:dyDescent="0.2">
      <c r="A4398">
        <v>736787.66449999996</v>
      </c>
      <c r="B4398">
        <v>-149.59472199999999</v>
      </c>
      <c r="C4398">
        <v>-17.016819000000002</v>
      </c>
      <c r="D4398">
        <v>167.05200028967801</v>
      </c>
      <c r="E4398">
        <v>30.4</v>
      </c>
      <c r="F4398">
        <v>10.216800019311901</v>
      </c>
    </row>
    <row r="4399" spans="1:6" x14ac:dyDescent="0.2">
      <c r="A4399">
        <v>736787.66449999996</v>
      </c>
      <c r="B4399">
        <v>-149.594705</v>
      </c>
      <c r="C4399">
        <v>-17.016808000000001</v>
      </c>
      <c r="D4399">
        <v>167.05200028967801</v>
      </c>
      <c r="E4399">
        <v>30.4</v>
      </c>
      <c r="F4399">
        <v>10.216800019311901</v>
      </c>
    </row>
    <row r="4400" spans="1:6" x14ac:dyDescent="0.2">
      <c r="A4400">
        <v>736787.66460000002</v>
      </c>
      <c r="B4400">
        <v>-149.594686</v>
      </c>
      <c r="C4400">
        <v>-17.016802999999999</v>
      </c>
      <c r="D4400">
        <v>166.62239982941099</v>
      </c>
      <c r="E4400">
        <v>30.4</v>
      </c>
      <c r="F4400">
        <v>10.1911199914706</v>
      </c>
    </row>
    <row r="4401" spans="1:6" x14ac:dyDescent="0.2">
      <c r="A4401">
        <v>736787.66460000002</v>
      </c>
      <c r="B4401">
        <v>-149.594673</v>
      </c>
      <c r="C4401">
        <v>-17.016801000000001</v>
      </c>
      <c r="D4401">
        <v>166.62239982941099</v>
      </c>
      <c r="E4401">
        <v>30.4</v>
      </c>
      <c r="F4401">
        <v>10.1911199914706</v>
      </c>
    </row>
    <row r="4402" spans="1:6" x14ac:dyDescent="0.2">
      <c r="A4402">
        <v>736787.66460000002</v>
      </c>
      <c r="B4402">
        <v>-149.594663</v>
      </c>
      <c r="C4402">
        <v>-17.0168</v>
      </c>
      <c r="D4402">
        <v>166.62239982941099</v>
      </c>
      <c r="E4402">
        <v>30.4</v>
      </c>
      <c r="F4402">
        <v>10.1911199914706</v>
      </c>
    </row>
    <row r="4403" spans="1:6" x14ac:dyDescent="0.2">
      <c r="A4403">
        <v>736787.66460000002</v>
      </c>
      <c r="B4403">
        <v>-149.594652</v>
      </c>
      <c r="C4403">
        <v>-17.016794999999998</v>
      </c>
      <c r="D4403">
        <v>166.62239982941099</v>
      </c>
      <c r="E4403">
        <v>30.4</v>
      </c>
      <c r="F4403">
        <v>10.1911199914706</v>
      </c>
    </row>
    <row r="4404" spans="1:6" x14ac:dyDescent="0.2">
      <c r="A4404">
        <v>736787.66460000002</v>
      </c>
      <c r="B4404">
        <v>-149.59463299999999</v>
      </c>
      <c r="C4404">
        <v>-17.01679</v>
      </c>
      <c r="D4404">
        <v>166.62239982941099</v>
      </c>
      <c r="E4404">
        <v>30.4</v>
      </c>
      <c r="F4404">
        <v>10.1911199914706</v>
      </c>
    </row>
    <row r="4405" spans="1:6" x14ac:dyDescent="0.2">
      <c r="A4405">
        <v>736787.66460000002</v>
      </c>
      <c r="B4405">
        <v>-149.59461899999999</v>
      </c>
      <c r="C4405">
        <v>-17.016787999999998</v>
      </c>
      <c r="D4405">
        <v>166.62239982941099</v>
      </c>
      <c r="E4405">
        <v>30.4</v>
      </c>
      <c r="F4405">
        <v>10.1911199914706</v>
      </c>
    </row>
    <row r="4406" spans="1:6" x14ac:dyDescent="0.2">
      <c r="A4406">
        <v>736787.66460000002</v>
      </c>
      <c r="B4406">
        <v>-149.594606</v>
      </c>
      <c r="C4406">
        <v>-17.016787000000001</v>
      </c>
      <c r="D4406">
        <v>166.62239982941099</v>
      </c>
      <c r="E4406">
        <v>30.4</v>
      </c>
      <c r="F4406">
        <v>10.1911199914706</v>
      </c>
    </row>
    <row r="4407" spans="1:6" x14ac:dyDescent="0.2">
      <c r="A4407">
        <v>736787.66469999996</v>
      </c>
      <c r="B4407">
        <v>-149.59458799999999</v>
      </c>
      <c r="C4407">
        <v>-17.016781999999999</v>
      </c>
      <c r="D4407">
        <v>166.168800630855</v>
      </c>
      <c r="E4407">
        <v>30.4</v>
      </c>
      <c r="F4407">
        <v>10.1653600360489</v>
      </c>
    </row>
    <row r="4408" spans="1:6" x14ac:dyDescent="0.2">
      <c r="A4408">
        <v>736787.66469999996</v>
      </c>
      <c r="B4408">
        <v>-149.59457399999999</v>
      </c>
      <c r="C4408">
        <v>-17.016784000000001</v>
      </c>
      <c r="D4408">
        <v>166.168800630855</v>
      </c>
      <c r="E4408">
        <v>30.4</v>
      </c>
      <c r="F4408">
        <v>10.1653600360489</v>
      </c>
    </row>
    <row r="4409" spans="1:6" x14ac:dyDescent="0.2">
      <c r="A4409">
        <v>736787.66469999996</v>
      </c>
      <c r="B4409">
        <v>-149.59456399999999</v>
      </c>
      <c r="C4409">
        <v>-17.016784999999999</v>
      </c>
      <c r="D4409">
        <v>166.168800630855</v>
      </c>
      <c r="E4409">
        <v>30.4</v>
      </c>
      <c r="F4409">
        <v>10.1653600360489</v>
      </c>
    </row>
    <row r="4410" spans="1:6" x14ac:dyDescent="0.2">
      <c r="A4410">
        <v>736787.66469999996</v>
      </c>
      <c r="B4410">
        <v>-149.59455199999999</v>
      </c>
      <c r="C4410">
        <v>-17.016780000000001</v>
      </c>
      <c r="D4410">
        <v>166.168800630855</v>
      </c>
      <c r="E4410">
        <v>30.4</v>
      </c>
      <c r="F4410">
        <v>10.1653600360489</v>
      </c>
    </row>
    <row r="4411" spans="1:6" x14ac:dyDescent="0.2">
      <c r="A4411">
        <v>736787.66469999996</v>
      </c>
      <c r="B4411">
        <v>-149.594537</v>
      </c>
      <c r="C4411">
        <v>-17.016777000000001</v>
      </c>
      <c r="D4411">
        <v>166.168800630855</v>
      </c>
      <c r="E4411">
        <v>30.4</v>
      </c>
      <c r="F4411">
        <v>10.1653600360489</v>
      </c>
    </row>
    <row r="4412" spans="1:6" x14ac:dyDescent="0.2">
      <c r="A4412">
        <v>736787.66469999996</v>
      </c>
      <c r="B4412">
        <v>-149.59452400000001</v>
      </c>
      <c r="C4412">
        <v>-17.016774000000002</v>
      </c>
      <c r="D4412">
        <v>166.168800630855</v>
      </c>
      <c r="E4412">
        <v>30.4</v>
      </c>
      <c r="F4412">
        <v>10.1653600360489</v>
      </c>
    </row>
    <row r="4413" spans="1:6" x14ac:dyDescent="0.2">
      <c r="A4413">
        <v>736787.66469999996</v>
      </c>
      <c r="B4413">
        <v>-149.59451100000001</v>
      </c>
      <c r="C4413">
        <v>-17.016773000000001</v>
      </c>
      <c r="D4413">
        <v>166.168800630855</v>
      </c>
      <c r="E4413">
        <v>30.4</v>
      </c>
      <c r="F4413">
        <v>10.1653600360489</v>
      </c>
    </row>
    <row r="4414" spans="1:6" x14ac:dyDescent="0.2">
      <c r="A4414">
        <v>736787.66469999996</v>
      </c>
      <c r="B4414">
        <v>-149.59449900000001</v>
      </c>
      <c r="C4414">
        <v>-17.016772</v>
      </c>
      <c r="D4414">
        <v>166.168800630855</v>
      </c>
      <c r="E4414">
        <v>30.4</v>
      </c>
      <c r="F4414">
        <v>10.1653600360489</v>
      </c>
    </row>
    <row r="4415" spans="1:6" x14ac:dyDescent="0.2">
      <c r="A4415">
        <v>736787.66480000003</v>
      </c>
      <c r="B4415">
        <v>-149.59448900000001</v>
      </c>
      <c r="C4415">
        <v>-17.016770999999999</v>
      </c>
      <c r="D4415">
        <v>165.87200057131</v>
      </c>
      <c r="E4415">
        <v>30.434400114262001</v>
      </c>
      <c r="F4415">
        <v>10.1468800228524</v>
      </c>
    </row>
    <row r="4416" spans="1:6" x14ac:dyDescent="0.2">
      <c r="A4416">
        <v>736787.66480000003</v>
      </c>
      <c r="B4416">
        <v>-149.59447800000001</v>
      </c>
      <c r="C4416">
        <v>-17.016773000000001</v>
      </c>
      <c r="D4416">
        <v>165.87200057131</v>
      </c>
      <c r="E4416">
        <v>30.434400114262001</v>
      </c>
      <c r="F4416">
        <v>10.1468800228524</v>
      </c>
    </row>
    <row r="4417" spans="1:6" x14ac:dyDescent="0.2">
      <c r="A4417">
        <v>736787.66480000003</v>
      </c>
      <c r="B4417">
        <v>-149.59446700000001</v>
      </c>
      <c r="C4417">
        <v>-17.016774000000002</v>
      </c>
      <c r="D4417">
        <v>165.87200057131</v>
      </c>
      <c r="E4417">
        <v>30.434400114262001</v>
      </c>
      <c r="F4417">
        <v>10.1468800228524</v>
      </c>
    </row>
    <row r="4418" spans="1:6" x14ac:dyDescent="0.2">
      <c r="A4418">
        <v>736787.66480000003</v>
      </c>
      <c r="B4418">
        <v>-149.594448</v>
      </c>
      <c r="C4418">
        <v>-17.016770999999999</v>
      </c>
      <c r="D4418">
        <v>165.87200057131</v>
      </c>
      <c r="E4418">
        <v>30.434400114262001</v>
      </c>
      <c r="F4418">
        <v>10.1468800228524</v>
      </c>
    </row>
    <row r="4419" spans="1:6" x14ac:dyDescent="0.2">
      <c r="A4419">
        <v>736787.66480000003</v>
      </c>
      <c r="B4419">
        <v>-149.59443899999999</v>
      </c>
      <c r="C4419">
        <v>-17.016767000000002</v>
      </c>
      <c r="D4419">
        <v>165.87200057131</v>
      </c>
      <c r="E4419">
        <v>30.434400114262001</v>
      </c>
      <c r="F4419">
        <v>10.1468800228524</v>
      </c>
    </row>
    <row r="4420" spans="1:6" x14ac:dyDescent="0.2">
      <c r="A4420">
        <v>736787.66480000003</v>
      </c>
      <c r="B4420">
        <v>-149.59442999999999</v>
      </c>
      <c r="C4420">
        <v>-17.016763000000001</v>
      </c>
      <c r="D4420">
        <v>165.87200057131</v>
      </c>
      <c r="E4420">
        <v>30.434400114262001</v>
      </c>
      <c r="F4420">
        <v>10.1468800228524</v>
      </c>
    </row>
    <row r="4421" spans="1:6" x14ac:dyDescent="0.2">
      <c r="A4421">
        <v>736787.66480000003</v>
      </c>
      <c r="B4421">
        <v>-149.594414</v>
      </c>
      <c r="C4421">
        <v>-17.016757999999999</v>
      </c>
      <c r="D4421">
        <v>165.87200057131</v>
      </c>
      <c r="E4421">
        <v>30.434400114262001</v>
      </c>
      <c r="F4421">
        <v>10.1468800228524</v>
      </c>
    </row>
    <row r="4422" spans="1:6" x14ac:dyDescent="0.2">
      <c r="A4422">
        <v>736787.66480000003</v>
      </c>
      <c r="B4422">
        <v>-149.59439900000001</v>
      </c>
      <c r="C4422">
        <v>-17.016752</v>
      </c>
      <c r="D4422">
        <v>165.87200057131</v>
      </c>
      <c r="E4422">
        <v>30.434400114262001</v>
      </c>
      <c r="F4422">
        <v>10.1468800228524</v>
      </c>
    </row>
    <row r="4423" spans="1:6" x14ac:dyDescent="0.2">
      <c r="A4423">
        <v>736787.66489999997</v>
      </c>
      <c r="B4423">
        <v>-149.59438599999999</v>
      </c>
      <c r="C4423">
        <v>-17.016746999999999</v>
      </c>
      <c r="D4423">
        <v>166.2</v>
      </c>
      <c r="E4423">
        <v>30.5</v>
      </c>
      <c r="F4423">
        <v>10.15</v>
      </c>
    </row>
    <row r="4424" spans="1:6" x14ac:dyDescent="0.2">
      <c r="A4424">
        <v>736787.66489999997</v>
      </c>
      <c r="B4424">
        <v>-149.59437700000001</v>
      </c>
      <c r="C4424">
        <v>-17.016743000000002</v>
      </c>
      <c r="D4424">
        <v>166.2</v>
      </c>
      <c r="E4424">
        <v>30.5</v>
      </c>
      <c r="F4424">
        <v>10.15</v>
      </c>
    </row>
    <row r="4425" spans="1:6" x14ac:dyDescent="0.2">
      <c r="A4425">
        <v>736787.66489999997</v>
      </c>
      <c r="B4425">
        <v>-149.59436400000001</v>
      </c>
      <c r="C4425">
        <v>-17.016732999999999</v>
      </c>
      <c r="D4425">
        <v>166.2</v>
      </c>
      <c r="E4425">
        <v>30.5</v>
      </c>
      <c r="F4425">
        <v>10.15</v>
      </c>
    </row>
    <row r="4426" spans="1:6" x14ac:dyDescent="0.2">
      <c r="A4426">
        <v>736787.66489999997</v>
      </c>
      <c r="B4426">
        <v>-149.59435099999999</v>
      </c>
      <c r="C4426">
        <v>-17.016725999999998</v>
      </c>
      <c r="D4426">
        <v>166.2</v>
      </c>
      <c r="E4426">
        <v>30.5</v>
      </c>
      <c r="F4426">
        <v>10.15</v>
      </c>
    </row>
    <row r="4427" spans="1:6" x14ac:dyDescent="0.2">
      <c r="A4427">
        <v>736787.66489999997</v>
      </c>
      <c r="B4427">
        <v>-149.59434300000001</v>
      </c>
      <c r="C4427">
        <v>-17.016719999999999</v>
      </c>
      <c r="D4427">
        <v>166.2</v>
      </c>
      <c r="E4427">
        <v>30.5</v>
      </c>
      <c r="F4427">
        <v>10.15</v>
      </c>
    </row>
    <row r="4428" spans="1:6" x14ac:dyDescent="0.2">
      <c r="A4428">
        <v>736787.66500000004</v>
      </c>
      <c r="B4428">
        <v>-149.59432799999999</v>
      </c>
      <c r="C4428">
        <v>-17.016714</v>
      </c>
      <c r="D4428">
        <v>165.95999975860099</v>
      </c>
      <c r="E4428">
        <v>30.580000080466402</v>
      </c>
      <c r="F4428">
        <v>10.133999983906699</v>
      </c>
    </row>
    <row r="4429" spans="1:6" x14ac:dyDescent="0.2">
      <c r="A4429">
        <v>736787.66500000004</v>
      </c>
      <c r="B4429">
        <v>-149.594314</v>
      </c>
      <c r="C4429">
        <v>-17.016707</v>
      </c>
      <c r="D4429">
        <v>165.95999975860099</v>
      </c>
      <c r="E4429">
        <v>30.580000080466402</v>
      </c>
      <c r="F4429">
        <v>10.133999983906699</v>
      </c>
    </row>
    <row r="4430" spans="1:6" x14ac:dyDescent="0.2">
      <c r="A4430">
        <v>736787.66500000004</v>
      </c>
      <c r="B4430">
        <v>-149.594303</v>
      </c>
      <c r="C4430">
        <v>-17.016701000000001</v>
      </c>
      <c r="D4430">
        <v>165.95999975860099</v>
      </c>
      <c r="E4430">
        <v>30.580000080466402</v>
      </c>
      <c r="F4430">
        <v>10.133999983906699</v>
      </c>
    </row>
    <row r="4431" spans="1:6" x14ac:dyDescent="0.2">
      <c r="A4431">
        <v>736787.66500000004</v>
      </c>
      <c r="B4431">
        <v>-149.59429399999999</v>
      </c>
      <c r="C4431">
        <v>-17.016698000000002</v>
      </c>
      <c r="D4431">
        <v>165.95999975860099</v>
      </c>
      <c r="E4431">
        <v>30.580000080466402</v>
      </c>
      <c r="F4431">
        <v>10.133999983906699</v>
      </c>
    </row>
    <row r="4432" spans="1:6" x14ac:dyDescent="0.2">
      <c r="A4432">
        <v>736787.66500000004</v>
      </c>
      <c r="B4432">
        <v>-149.59427600000001</v>
      </c>
      <c r="C4432">
        <v>-17.016697000000001</v>
      </c>
      <c r="D4432">
        <v>165.95999975860099</v>
      </c>
      <c r="E4432">
        <v>30.580000080466402</v>
      </c>
      <c r="F4432">
        <v>10.133999983906699</v>
      </c>
    </row>
    <row r="4433" spans="1:6" x14ac:dyDescent="0.2">
      <c r="A4433">
        <v>736787.66500000004</v>
      </c>
      <c r="B4433">
        <v>-149.59426400000001</v>
      </c>
      <c r="C4433">
        <v>-17.016693</v>
      </c>
      <c r="D4433">
        <v>165.95999975860099</v>
      </c>
      <c r="E4433">
        <v>30.580000080466402</v>
      </c>
      <c r="F4433">
        <v>10.133999983906699</v>
      </c>
    </row>
    <row r="4434" spans="1:6" x14ac:dyDescent="0.2">
      <c r="A4434">
        <v>736787.66509999998</v>
      </c>
      <c r="B4434">
        <v>-149.594255</v>
      </c>
      <c r="C4434">
        <v>-17.016687999999998</v>
      </c>
      <c r="D4434">
        <v>166.281999806881</v>
      </c>
      <c r="E4434">
        <v>30.6</v>
      </c>
      <c r="F4434">
        <v>10.145279992275199</v>
      </c>
    </row>
    <row r="4435" spans="1:6" x14ac:dyDescent="0.2">
      <c r="A4435">
        <v>736787.66509999998</v>
      </c>
      <c r="B4435">
        <v>-149.59424200000001</v>
      </c>
      <c r="C4435">
        <v>-17.016680000000001</v>
      </c>
      <c r="D4435">
        <v>166.281999806881</v>
      </c>
      <c r="E4435">
        <v>30.6</v>
      </c>
      <c r="F4435">
        <v>10.145279992275199</v>
      </c>
    </row>
    <row r="4436" spans="1:6" x14ac:dyDescent="0.2">
      <c r="A4436">
        <v>736787.66509999998</v>
      </c>
      <c r="B4436">
        <v>-149.59423100000001</v>
      </c>
      <c r="C4436">
        <v>-17.016679</v>
      </c>
      <c r="D4436">
        <v>166.281999806881</v>
      </c>
      <c r="E4436">
        <v>30.6</v>
      </c>
      <c r="F4436">
        <v>10.145279992275199</v>
      </c>
    </row>
    <row r="4437" spans="1:6" x14ac:dyDescent="0.2">
      <c r="A4437">
        <v>736787.66509999998</v>
      </c>
      <c r="B4437">
        <v>-149.594222</v>
      </c>
      <c r="C4437">
        <v>-17.016674999999999</v>
      </c>
      <c r="D4437">
        <v>166.281999806881</v>
      </c>
      <c r="E4437">
        <v>30.6</v>
      </c>
      <c r="F4437">
        <v>10.145279992275199</v>
      </c>
    </row>
    <row r="4438" spans="1:6" x14ac:dyDescent="0.2">
      <c r="A4438">
        <v>736787.66509999998</v>
      </c>
      <c r="B4438">
        <v>-149.59421399999999</v>
      </c>
      <c r="C4438">
        <v>-17.016667000000002</v>
      </c>
      <c r="D4438">
        <v>166.281999806881</v>
      </c>
      <c r="E4438">
        <v>30.6</v>
      </c>
      <c r="F4438">
        <v>10.145279992275199</v>
      </c>
    </row>
    <row r="4439" spans="1:6" x14ac:dyDescent="0.2">
      <c r="A4439">
        <v>736787.66509999998</v>
      </c>
      <c r="B4439">
        <v>-149.59420600000001</v>
      </c>
      <c r="C4439">
        <v>-17.016662</v>
      </c>
      <c r="D4439">
        <v>166.281999806881</v>
      </c>
      <c r="E4439">
        <v>30.6</v>
      </c>
      <c r="F4439">
        <v>10.145279992275199</v>
      </c>
    </row>
    <row r="4440" spans="1:6" x14ac:dyDescent="0.2">
      <c r="A4440">
        <v>736787.66509999998</v>
      </c>
      <c r="B4440">
        <v>-149.594199</v>
      </c>
      <c r="C4440">
        <v>-17.016656000000001</v>
      </c>
      <c r="D4440">
        <v>166.281999806881</v>
      </c>
      <c r="E4440">
        <v>30.6</v>
      </c>
      <c r="F4440">
        <v>10.145279992275199</v>
      </c>
    </row>
    <row r="4441" spans="1:6" x14ac:dyDescent="0.2">
      <c r="A4441">
        <v>736787.66520000005</v>
      </c>
      <c r="B4441">
        <v>-149.594189</v>
      </c>
      <c r="C4441">
        <v>-17.016642999999998</v>
      </c>
      <c r="D4441">
        <v>166.6</v>
      </c>
      <c r="E4441">
        <v>30.6</v>
      </c>
      <c r="F4441">
        <v>10.17</v>
      </c>
    </row>
    <row r="4442" spans="1:6" x14ac:dyDescent="0.2">
      <c r="A4442">
        <v>736787.66520000005</v>
      </c>
      <c r="B4442">
        <v>-149.59418099999999</v>
      </c>
      <c r="C4442">
        <v>-17.016632999999999</v>
      </c>
      <c r="D4442">
        <v>166.6</v>
      </c>
      <c r="E4442">
        <v>30.6</v>
      </c>
      <c r="F4442">
        <v>10.17</v>
      </c>
    </row>
    <row r="4443" spans="1:6" x14ac:dyDescent="0.2">
      <c r="A4443">
        <v>736787.66520000005</v>
      </c>
      <c r="B4443">
        <v>-149.59417500000001</v>
      </c>
      <c r="C4443">
        <v>-17.016622000000002</v>
      </c>
      <c r="D4443">
        <v>166.6</v>
      </c>
      <c r="E4443">
        <v>30.6</v>
      </c>
      <c r="F4443">
        <v>10.17</v>
      </c>
    </row>
    <row r="4444" spans="1:6" x14ac:dyDescent="0.2">
      <c r="A4444">
        <v>736787.66520000005</v>
      </c>
      <c r="B4444">
        <v>-149.59417300000001</v>
      </c>
      <c r="C4444">
        <v>-17.016611999999999</v>
      </c>
      <c r="D4444">
        <v>166.6</v>
      </c>
      <c r="E4444">
        <v>30.6</v>
      </c>
      <c r="F4444">
        <v>10.17</v>
      </c>
    </row>
    <row r="4445" spans="1:6" x14ac:dyDescent="0.2">
      <c r="A4445">
        <v>736787.66529999999</v>
      </c>
      <c r="B4445">
        <v>-149.594167</v>
      </c>
      <c r="C4445">
        <v>-17.016604000000001</v>
      </c>
      <c r="D4445">
        <v>167.485599362708</v>
      </c>
      <c r="E4445">
        <v>30.6</v>
      </c>
      <c r="F4445">
        <v>10.2191999645949</v>
      </c>
    </row>
    <row r="4446" spans="1:6" x14ac:dyDescent="0.2">
      <c r="A4446">
        <v>736787.66529999999</v>
      </c>
      <c r="B4446">
        <v>-149.59416300000001</v>
      </c>
      <c r="C4446">
        <v>-17.016591999999999</v>
      </c>
      <c r="D4446">
        <v>167.485599362708</v>
      </c>
      <c r="E4446">
        <v>30.6</v>
      </c>
      <c r="F4446">
        <v>10.2191999645949</v>
      </c>
    </row>
    <row r="4447" spans="1:6" x14ac:dyDescent="0.2">
      <c r="A4447">
        <v>736787.66529999999</v>
      </c>
      <c r="B4447">
        <v>-149.59415899999999</v>
      </c>
      <c r="C4447">
        <v>-17.016584000000002</v>
      </c>
      <c r="D4447">
        <v>167.485599362708</v>
      </c>
      <c r="E4447">
        <v>30.6</v>
      </c>
      <c r="F4447">
        <v>10.2191999645949</v>
      </c>
    </row>
    <row r="4448" spans="1:6" x14ac:dyDescent="0.2">
      <c r="A4448">
        <v>736787.66540000006</v>
      </c>
      <c r="B4448">
        <v>-149.59416100000001</v>
      </c>
      <c r="C4448">
        <v>-17.016570000000002</v>
      </c>
      <c r="D4448">
        <v>167.7</v>
      </c>
      <c r="E4448">
        <v>30.6</v>
      </c>
      <c r="F4448">
        <v>10.2371200133574</v>
      </c>
    </row>
    <row r="4449" spans="1:6" x14ac:dyDescent="0.2">
      <c r="A4449">
        <v>736787.66540000006</v>
      </c>
      <c r="B4449">
        <v>-149.59416100000001</v>
      </c>
      <c r="C4449">
        <v>-17.016549999999999</v>
      </c>
      <c r="D4449">
        <v>167.7</v>
      </c>
      <c r="E4449">
        <v>30.6</v>
      </c>
      <c r="F4449">
        <v>10.2371200133574</v>
      </c>
    </row>
    <row r="4450" spans="1:6" x14ac:dyDescent="0.2">
      <c r="A4450">
        <v>736787.66540000006</v>
      </c>
      <c r="B4450">
        <v>-149.594165</v>
      </c>
      <c r="C4450">
        <v>-17.016534</v>
      </c>
      <c r="D4450">
        <v>167.7</v>
      </c>
      <c r="E4450">
        <v>30.6</v>
      </c>
      <c r="F4450">
        <v>10.2371200133574</v>
      </c>
    </row>
    <row r="4451" spans="1:6" x14ac:dyDescent="0.2">
      <c r="A4451">
        <v>736787.6655</v>
      </c>
      <c r="B4451">
        <v>-149.594166</v>
      </c>
      <c r="C4451">
        <v>-17.016524</v>
      </c>
      <c r="D4451">
        <v>168.18800004828</v>
      </c>
      <c r="E4451">
        <v>30.6</v>
      </c>
      <c r="F4451">
        <v>10.264400002414</v>
      </c>
    </row>
    <row r="4452" spans="1:6" x14ac:dyDescent="0.2">
      <c r="A4452">
        <v>736787.6655</v>
      </c>
      <c r="B4452">
        <v>-149.59417099999999</v>
      </c>
      <c r="C4452">
        <v>-17.016514000000001</v>
      </c>
      <c r="D4452">
        <v>168.18800004828</v>
      </c>
      <c r="E4452">
        <v>30.6</v>
      </c>
      <c r="F4452">
        <v>10.264400002414</v>
      </c>
    </row>
    <row r="4453" spans="1:6" x14ac:dyDescent="0.2">
      <c r="A4453">
        <v>736787.6655</v>
      </c>
      <c r="B4453">
        <v>-149.59418099999999</v>
      </c>
      <c r="C4453">
        <v>-17.016504000000001</v>
      </c>
      <c r="D4453">
        <v>168.18800004828</v>
      </c>
      <c r="E4453">
        <v>30.6</v>
      </c>
      <c r="F4453">
        <v>10.264400002414</v>
      </c>
    </row>
    <row r="4454" spans="1:6" x14ac:dyDescent="0.2">
      <c r="A4454">
        <v>736787.6655</v>
      </c>
      <c r="B4454">
        <v>-149.594191</v>
      </c>
      <c r="C4454">
        <v>-17.016496</v>
      </c>
      <c r="D4454">
        <v>168.18800004828</v>
      </c>
      <c r="E4454">
        <v>30.6</v>
      </c>
      <c r="F4454">
        <v>10.264400002414</v>
      </c>
    </row>
    <row r="4455" spans="1:6" x14ac:dyDescent="0.2">
      <c r="A4455">
        <v>736787.66559999995</v>
      </c>
      <c r="B4455">
        <v>-149.5942</v>
      </c>
      <c r="C4455">
        <v>-17.016492</v>
      </c>
      <c r="D4455">
        <v>167.9</v>
      </c>
      <c r="E4455">
        <v>30.5</v>
      </c>
      <c r="F4455">
        <v>10.251679993884601</v>
      </c>
    </row>
    <row r="4456" spans="1:6" x14ac:dyDescent="0.2">
      <c r="A4456">
        <v>736787.66559999995</v>
      </c>
      <c r="B4456">
        <v>-149.59421599999999</v>
      </c>
      <c r="C4456">
        <v>-17.016487999999999</v>
      </c>
      <c r="D4456">
        <v>167.9</v>
      </c>
      <c r="E4456">
        <v>30.5</v>
      </c>
      <c r="F4456">
        <v>10.251679993884601</v>
      </c>
    </row>
    <row r="4457" spans="1:6" x14ac:dyDescent="0.2">
      <c r="A4457">
        <v>736787.66559999995</v>
      </c>
      <c r="B4457">
        <v>-149.59422499999999</v>
      </c>
      <c r="C4457">
        <v>-17.016492</v>
      </c>
      <c r="D4457">
        <v>167.9</v>
      </c>
      <c r="E4457">
        <v>30.5</v>
      </c>
      <c r="F4457">
        <v>10.251679993884601</v>
      </c>
    </row>
    <row r="4458" spans="1:6" x14ac:dyDescent="0.2">
      <c r="A4458">
        <v>736787.66559999995</v>
      </c>
      <c r="B4458">
        <v>-149.594235</v>
      </c>
      <c r="C4458">
        <v>-17.016500000000001</v>
      </c>
      <c r="D4458">
        <v>167.9</v>
      </c>
      <c r="E4458">
        <v>30.5</v>
      </c>
      <c r="F4458">
        <v>10.251679993884601</v>
      </c>
    </row>
    <row r="4459" spans="1:6" x14ac:dyDescent="0.2">
      <c r="A4459">
        <v>736787.66570000001</v>
      </c>
      <c r="B4459">
        <v>-149.594244</v>
      </c>
      <c r="C4459">
        <v>-17.016501999999999</v>
      </c>
      <c r="D4459">
        <v>167.18320046348501</v>
      </c>
      <c r="E4459">
        <v>30.5</v>
      </c>
      <c r="F4459">
        <v>10.2152000289678</v>
      </c>
    </row>
    <row r="4460" spans="1:6" x14ac:dyDescent="0.2">
      <c r="A4460">
        <v>736787.66570000001</v>
      </c>
      <c r="B4460">
        <v>-149.594256</v>
      </c>
      <c r="C4460">
        <v>-17.016506</v>
      </c>
      <c r="D4460">
        <v>167.18320046348501</v>
      </c>
      <c r="E4460">
        <v>30.5</v>
      </c>
      <c r="F4460">
        <v>10.2152000289678</v>
      </c>
    </row>
    <row r="4461" spans="1:6" x14ac:dyDescent="0.2">
      <c r="A4461">
        <v>736787.66579999996</v>
      </c>
      <c r="B4461">
        <v>-149.59426199999999</v>
      </c>
      <c r="C4461">
        <v>-17.016515999999999</v>
      </c>
      <c r="D4461">
        <v>167.5</v>
      </c>
      <c r="E4461">
        <v>30.5</v>
      </c>
      <c r="F4461">
        <v>10.23</v>
      </c>
    </row>
    <row r="4462" spans="1:6" x14ac:dyDescent="0.2">
      <c r="A4462">
        <v>736787.66579999996</v>
      </c>
      <c r="B4462">
        <v>-149.59427099999999</v>
      </c>
      <c r="C4462">
        <v>-17.016528000000001</v>
      </c>
      <c r="D4462">
        <v>167.5</v>
      </c>
      <c r="E4462">
        <v>30.5</v>
      </c>
      <c r="F4462">
        <v>10.23</v>
      </c>
    </row>
    <row r="4463" spans="1:6" x14ac:dyDescent="0.2">
      <c r="A4463">
        <v>736787.66579999996</v>
      </c>
      <c r="B4463">
        <v>-149.594267</v>
      </c>
      <c r="C4463">
        <v>-17.016538000000001</v>
      </c>
      <c r="D4463">
        <v>167.5</v>
      </c>
      <c r="E4463">
        <v>30.5</v>
      </c>
      <c r="F4463">
        <v>10.23</v>
      </c>
    </row>
    <row r="4464" spans="1:6" x14ac:dyDescent="0.2">
      <c r="A4464">
        <v>736787.66579999996</v>
      </c>
      <c r="B4464">
        <v>-149.59426400000001</v>
      </c>
      <c r="C4464">
        <v>-17.016548</v>
      </c>
      <c r="D4464">
        <v>167.5</v>
      </c>
      <c r="E4464">
        <v>30.5</v>
      </c>
      <c r="F4464">
        <v>10.23</v>
      </c>
    </row>
    <row r="4465" spans="1:6" x14ac:dyDescent="0.2">
      <c r="A4465">
        <v>736787.66590000002</v>
      </c>
      <c r="B4465">
        <v>-149.59425899999999</v>
      </c>
      <c r="C4465">
        <v>-17.016558</v>
      </c>
      <c r="D4465">
        <v>169.12080056004601</v>
      </c>
      <c r="E4465">
        <v>30.6408000772477</v>
      </c>
      <c r="F4465">
        <v>10.302240023174299</v>
      </c>
    </row>
    <row r="4466" spans="1:6" x14ac:dyDescent="0.2">
      <c r="A4466">
        <v>736787.66590000002</v>
      </c>
      <c r="B4466">
        <v>-149.594255</v>
      </c>
      <c r="C4466">
        <v>-17.016570000000002</v>
      </c>
      <c r="D4466">
        <v>169.12080056004601</v>
      </c>
      <c r="E4466">
        <v>30.6408000772477</v>
      </c>
      <c r="F4466">
        <v>10.302240023174299</v>
      </c>
    </row>
    <row r="4467" spans="1:6" x14ac:dyDescent="0.2">
      <c r="A4467">
        <v>736787.66590000002</v>
      </c>
      <c r="B4467">
        <v>-149.594245</v>
      </c>
      <c r="C4467">
        <v>-17.016572</v>
      </c>
      <c r="D4467">
        <v>169.12080056004601</v>
      </c>
      <c r="E4467">
        <v>30.6408000772477</v>
      </c>
      <c r="F4467">
        <v>10.302240023174299</v>
      </c>
    </row>
    <row r="4468" spans="1:6" x14ac:dyDescent="0.2">
      <c r="A4468">
        <v>736787.66590000002</v>
      </c>
      <c r="B4468">
        <v>-149.59423200000001</v>
      </c>
      <c r="C4468">
        <v>-17.016577999999999</v>
      </c>
      <c r="D4468">
        <v>169.12080056004601</v>
      </c>
      <c r="E4468">
        <v>30.6408000772477</v>
      </c>
      <c r="F4468">
        <v>10.302240023174299</v>
      </c>
    </row>
    <row r="4469" spans="1:6" x14ac:dyDescent="0.2">
      <c r="A4469">
        <v>736787.66599999997</v>
      </c>
      <c r="B4469">
        <v>-149.59422699999999</v>
      </c>
      <c r="C4469">
        <v>-17.016577999999999</v>
      </c>
      <c r="D4469">
        <v>171.06399961376201</v>
      </c>
      <c r="E4469">
        <v>30.9</v>
      </c>
      <c r="F4469">
        <v>10.393999975860099</v>
      </c>
    </row>
    <row r="4470" spans="1:6" x14ac:dyDescent="0.2">
      <c r="A4470">
        <v>736787.66599999997</v>
      </c>
      <c r="B4470">
        <v>-149.59421699999999</v>
      </c>
      <c r="C4470">
        <v>-17.016583000000001</v>
      </c>
      <c r="D4470">
        <v>171.06399961376201</v>
      </c>
      <c r="E4470">
        <v>30.9</v>
      </c>
      <c r="F4470">
        <v>10.393999975860099</v>
      </c>
    </row>
    <row r="4471" spans="1:6" x14ac:dyDescent="0.2">
      <c r="A4471">
        <v>736787.66599999997</v>
      </c>
      <c r="B4471">
        <v>-149.59420399999999</v>
      </c>
      <c r="C4471">
        <v>-17.016583000000001</v>
      </c>
      <c r="D4471">
        <v>171.06399961376201</v>
      </c>
      <c r="E4471">
        <v>30.9</v>
      </c>
      <c r="F4471">
        <v>10.393999975860099</v>
      </c>
    </row>
    <row r="4472" spans="1:6" x14ac:dyDescent="0.2">
      <c r="A4472">
        <v>736787.66599999997</v>
      </c>
      <c r="B4472">
        <v>-149.594189</v>
      </c>
      <c r="C4472">
        <v>-17.016584000000002</v>
      </c>
      <c r="D4472">
        <v>171.06399961376201</v>
      </c>
      <c r="E4472">
        <v>30.9</v>
      </c>
      <c r="F4472">
        <v>10.393999975860099</v>
      </c>
    </row>
    <row r="4473" spans="1:6" x14ac:dyDescent="0.2">
      <c r="A4473">
        <v>736787.66599999997</v>
      </c>
      <c r="B4473">
        <v>-149.594179</v>
      </c>
      <c r="C4473">
        <v>-17.016583000000001</v>
      </c>
      <c r="D4473">
        <v>171.06399961376201</v>
      </c>
      <c r="E4473">
        <v>30.9</v>
      </c>
      <c r="F4473">
        <v>10.393999975860099</v>
      </c>
    </row>
    <row r="4474" spans="1:6" x14ac:dyDescent="0.2">
      <c r="A4474">
        <v>736787.66599999997</v>
      </c>
      <c r="B4474">
        <v>-149.59415899999999</v>
      </c>
      <c r="C4474">
        <v>-17.016579</v>
      </c>
      <c r="D4474">
        <v>171.06399961376201</v>
      </c>
      <c r="E4474">
        <v>30.9</v>
      </c>
      <c r="F4474">
        <v>10.393999975860099</v>
      </c>
    </row>
    <row r="4475" spans="1:6" x14ac:dyDescent="0.2">
      <c r="A4475">
        <v>736787.66610000003</v>
      </c>
      <c r="B4475">
        <v>-149.59414899999999</v>
      </c>
      <c r="C4475">
        <v>-17.016577999999999</v>
      </c>
      <c r="D4475">
        <v>172.68880129229001</v>
      </c>
      <c r="E4475">
        <v>30.9</v>
      </c>
      <c r="F4475">
        <v>10.4804000587405</v>
      </c>
    </row>
    <row r="4476" spans="1:6" x14ac:dyDescent="0.2">
      <c r="A4476">
        <v>736787.66610000003</v>
      </c>
      <c r="B4476">
        <v>-149.594132</v>
      </c>
      <c r="C4476">
        <v>-17.016577000000002</v>
      </c>
      <c r="D4476">
        <v>172.68880129229001</v>
      </c>
      <c r="E4476">
        <v>30.9</v>
      </c>
      <c r="F4476">
        <v>10.4804000587405</v>
      </c>
    </row>
    <row r="4477" spans="1:6" x14ac:dyDescent="0.2">
      <c r="A4477">
        <v>736787.66610000003</v>
      </c>
      <c r="B4477">
        <v>-149.59411600000001</v>
      </c>
      <c r="C4477">
        <v>-17.016575</v>
      </c>
      <c r="D4477">
        <v>172.68880129229001</v>
      </c>
      <c r="E4477">
        <v>30.9</v>
      </c>
      <c r="F4477">
        <v>10.4804000587405</v>
      </c>
    </row>
    <row r="4478" spans="1:6" x14ac:dyDescent="0.2">
      <c r="A4478">
        <v>736787.66610000003</v>
      </c>
      <c r="B4478">
        <v>-149.59410299999999</v>
      </c>
      <c r="C4478">
        <v>-17.016572</v>
      </c>
      <c r="D4478">
        <v>172.68880129229001</v>
      </c>
      <c r="E4478">
        <v>30.9</v>
      </c>
      <c r="F4478">
        <v>10.4804000587405</v>
      </c>
    </row>
    <row r="4479" spans="1:6" x14ac:dyDescent="0.2">
      <c r="A4479">
        <v>736787.66610000003</v>
      </c>
      <c r="B4479">
        <v>-149.59409199999999</v>
      </c>
      <c r="C4479">
        <v>-17.016570000000002</v>
      </c>
      <c r="D4479">
        <v>172.68880129229001</v>
      </c>
      <c r="E4479">
        <v>30.9</v>
      </c>
      <c r="F4479">
        <v>10.4804000587405</v>
      </c>
    </row>
    <row r="4480" spans="1:6" x14ac:dyDescent="0.2">
      <c r="A4480">
        <v>736787.66619999998</v>
      </c>
      <c r="B4480">
        <v>-149.59408300000001</v>
      </c>
      <c r="C4480">
        <v>-17.016566999999998</v>
      </c>
      <c r="D4480">
        <v>173.757599330521</v>
      </c>
      <c r="E4480">
        <v>31</v>
      </c>
      <c r="F4480">
        <v>10.5335999581576</v>
      </c>
    </row>
    <row r="4481" spans="1:6" x14ac:dyDescent="0.2">
      <c r="A4481">
        <v>736787.66630000004</v>
      </c>
      <c r="B4481">
        <v>-149.59407300000001</v>
      </c>
      <c r="C4481">
        <v>-17.016570999999999</v>
      </c>
      <c r="D4481">
        <v>175.49439994206401</v>
      </c>
      <c r="E4481">
        <v>31</v>
      </c>
      <c r="F4481">
        <v>10.637359998551601</v>
      </c>
    </row>
    <row r="4482" spans="1:6" x14ac:dyDescent="0.2">
      <c r="A4482">
        <v>736787.66630000004</v>
      </c>
      <c r="B4482">
        <v>-149.59406999999999</v>
      </c>
      <c r="C4482">
        <v>-17.016582</v>
      </c>
      <c r="D4482">
        <v>175.49439994206401</v>
      </c>
      <c r="E4482">
        <v>31</v>
      </c>
      <c r="F4482">
        <v>10.637359998551601</v>
      </c>
    </row>
    <row r="4483" spans="1:6" x14ac:dyDescent="0.2">
      <c r="A4483">
        <v>736787.66639999999</v>
      </c>
      <c r="B4483">
        <v>-149.59407100000001</v>
      </c>
      <c r="C4483">
        <v>-17.016593</v>
      </c>
      <c r="D4483">
        <v>175.2</v>
      </c>
      <c r="E4483">
        <v>30.900800035405101</v>
      </c>
      <c r="F4483">
        <v>10.63</v>
      </c>
    </row>
    <row r="4484" spans="1:6" x14ac:dyDescent="0.2">
      <c r="A4484">
        <v>736787.66639999999</v>
      </c>
      <c r="B4484">
        <v>-149.594078</v>
      </c>
      <c r="C4484">
        <v>-17.016601000000001</v>
      </c>
      <c r="D4484">
        <v>175.2</v>
      </c>
      <c r="E4484">
        <v>30.900800035405101</v>
      </c>
      <c r="F4484">
        <v>10.63</v>
      </c>
    </row>
    <row r="4485" spans="1:6" x14ac:dyDescent="0.2">
      <c r="A4485">
        <v>736787.66650000005</v>
      </c>
      <c r="B4485">
        <v>-149.59408500000001</v>
      </c>
      <c r="C4485">
        <v>-17.016608000000002</v>
      </c>
      <c r="D4485">
        <v>175.776000901223</v>
      </c>
      <c r="E4485">
        <v>30.9</v>
      </c>
      <c r="F4485">
        <v>10.666000056326499</v>
      </c>
    </row>
    <row r="4486" spans="1:6" x14ac:dyDescent="0.2">
      <c r="A4486">
        <v>736787.6666</v>
      </c>
      <c r="B4486">
        <v>-149.59408300000001</v>
      </c>
      <c r="C4486">
        <v>-17.016618000000001</v>
      </c>
      <c r="D4486">
        <v>176.44799971032199</v>
      </c>
      <c r="E4486">
        <v>31.1</v>
      </c>
      <c r="F4486">
        <v>10.686879982619301</v>
      </c>
    </row>
    <row r="4487" spans="1:6" x14ac:dyDescent="0.2">
      <c r="A4487">
        <v>736787.66669999994</v>
      </c>
      <c r="B4487">
        <v>-149.59408199999999</v>
      </c>
      <c r="C4487">
        <v>-17.016618999999999</v>
      </c>
      <c r="D4487">
        <v>180.1</v>
      </c>
      <c r="E4487">
        <v>31.3</v>
      </c>
      <c r="F4487">
        <v>10.87</v>
      </c>
    </row>
    <row r="4488" spans="1:6" x14ac:dyDescent="0.2">
      <c r="A4488">
        <v>736787.66669999994</v>
      </c>
      <c r="B4488">
        <v>-149.594087</v>
      </c>
      <c r="C4488">
        <v>-17.016628999999998</v>
      </c>
      <c r="D4488">
        <v>180.1</v>
      </c>
      <c r="E4488">
        <v>31.3</v>
      </c>
      <c r="F4488">
        <v>10.87</v>
      </c>
    </row>
    <row r="4489" spans="1:6" x14ac:dyDescent="0.2">
      <c r="A4489">
        <v>736787.66680000001</v>
      </c>
      <c r="B4489">
        <v>-149.594086</v>
      </c>
      <c r="C4489">
        <v>-17.016638</v>
      </c>
      <c r="D4489">
        <v>182.450399414206</v>
      </c>
      <c r="E4489">
        <v>31.3</v>
      </c>
      <c r="F4489">
        <v>11.014639963951099</v>
      </c>
    </row>
    <row r="4490" spans="1:6" x14ac:dyDescent="0.2">
      <c r="A4490">
        <v>736787.66680000001</v>
      </c>
      <c r="B4490">
        <v>-149.59407999999999</v>
      </c>
      <c r="C4490">
        <v>-17.016646000000001</v>
      </c>
      <c r="D4490">
        <v>182.450399414206</v>
      </c>
      <c r="E4490">
        <v>31.3</v>
      </c>
      <c r="F4490">
        <v>11.014639963951099</v>
      </c>
    </row>
    <row r="4491" spans="1:6" x14ac:dyDescent="0.2">
      <c r="A4491">
        <v>736787.66689999995</v>
      </c>
      <c r="B4491">
        <v>-149.594064</v>
      </c>
      <c r="C4491">
        <v>-17.016641</v>
      </c>
      <c r="D4491">
        <v>185.96319998068799</v>
      </c>
      <c r="E4491">
        <v>31.5895999420643</v>
      </c>
      <c r="F4491">
        <v>11.178400009655901</v>
      </c>
    </row>
    <row r="4492" spans="1:6" x14ac:dyDescent="0.2">
      <c r="A4492">
        <v>736787.66689999995</v>
      </c>
      <c r="B4492">
        <v>-149.59404699999999</v>
      </c>
      <c r="C4492">
        <v>-17.016639000000001</v>
      </c>
      <c r="D4492">
        <v>185.96319998068799</v>
      </c>
      <c r="E4492">
        <v>31.5895999420643</v>
      </c>
      <c r="F4492">
        <v>11.178400009655901</v>
      </c>
    </row>
    <row r="4493" spans="1:6" x14ac:dyDescent="0.2">
      <c r="A4493">
        <v>736787.66689999995</v>
      </c>
      <c r="B4493">
        <v>-149.59403699999999</v>
      </c>
      <c r="C4493">
        <v>-17.016636999999999</v>
      </c>
      <c r="D4493">
        <v>185.96319998068799</v>
      </c>
      <c r="E4493">
        <v>31.5895999420643</v>
      </c>
      <c r="F4493">
        <v>11.178400009655901</v>
      </c>
    </row>
    <row r="4494" spans="1:6" x14ac:dyDescent="0.2">
      <c r="A4494">
        <v>736787.66689999995</v>
      </c>
      <c r="B4494">
        <v>-149.59402499999999</v>
      </c>
      <c r="C4494">
        <v>-17.016628000000001</v>
      </c>
      <c r="D4494">
        <v>185.96319998068799</v>
      </c>
      <c r="E4494">
        <v>31.5895999420643</v>
      </c>
      <c r="F4494">
        <v>11.178400009655901</v>
      </c>
    </row>
    <row r="4495" spans="1:6" x14ac:dyDescent="0.2">
      <c r="A4495">
        <v>736787.66689999995</v>
      </c>
      <c r="B4495">
        <v>-149.59401199999999</v>
      </c>
      <c r="C4495">
        <v>-17.016615999999999</v>
      </c>
      <c r="D4495">
        <v>185.96319998068799</v>
      </c>
      <c r="E4495">
        <v>31.5895999420643</v>
      </c>
      <c r="F4495">
        <v>11.178400009655901</v>
      </c>
    </row>
    <row r="4496" spans="1:6" x14ac:dyDescent="0.2">
      <c r="A4496">
        <v>736787.66700000002</v>
      </c>
      <c r="B4496">
        <v>-149.594007</v>
      </c>
      <c r="C4496">
        <v>-17.016604999999998</v>
      </c>
      <c r="D4496">
        <v>192.33599917924499</v>
      </c>
      <c r="E4496">
        <v>31.807999951720301</v>
      </c>
      <c r="F4496">
        <v>11.519999959766899</v>
      </c>
    </row>
    <row r="4497" spans="1:6" x14ac:dyDescent="0.2">
      <c r="A4497">
        <v>736787.66700000002</v>
      </c>
      <c r="B4497">
        <v>-149.59400099999999</v>
      </c>
      <c r="C4497">
        <v>-17.016593</v>
      </c>
      <c r="D4497">
        <v>192.33599917924499</v>
      </c>
      <c r="E4497">
        <v>31.807999951720301</v>
      </c>
      <c r="F4497">
        <v>11.519999959766899</v>
      </c>
    </row>
    <row r="4498" spans="1:6" x14ac:dyDescent="0.2">
      <c r="A4498">
        <v>736787.66700000002</v>
      </c>
      <c r="B4498">
        <v>-149.593996</v>
      </c>
      <c r="C4498">
        <v>-17.016584000000002</v>
      </c>
      <c r="D4498">
        <v>192.33599917924499</v>
      </c>
      <c r="E4498">
        <v>31.807999951720301</v>
      </c>
      <c r="F4498">
        <v>11.519999959766899</v>
      </c>
    </row>
    <row r="4499" spans="1:6" x14ac:dyDescent="0.2">
      <c r="A4499">
        <v>736787.66700000002</v>
      </c>
      <c r="B4499">
        <v>-149.593977</v>
      </c>
      <c r="C4499">
        <v>-17.016580000000001</v>
      </c>
      <c r="D4499">
        <v>192.33599917924499</v>
      </c>
      <c r="E4499">
        <v>31.807999951720301</v>
      </c>
      <c r="F4499">
        <v>11.519999959766899</v>
      </c>
    </row>
    <row r="4500" spans="1:6" x14ac:dyDescent="0.2">
      <c r="A4500">
        <v>736787.66700000002</v>
      </c>
      <c r="B4500">
        <v>-149.59396599999999</v>
      </c>
      <c r="C4500">
        <v>-17.016582</v>
      </c>
      <c r="D4500">
        <v>192.33599917924499</v>
      </c>
      <c r="E4500">
        <v>31.807999951720301</v>
      </c>
      <c r="F4500">
        <v>11.519999959766899</v>
      </c>
    </row>
    <row r="4501" spans="1:6" x14ac:dyDescent="0.2">
      <c r="A4501">
        <v>736787.66700000002</v>
      </c>
      <c r="B4501">
        <v>-149.593954</v>
      </c>
      <c r="C4501">
        <v>-17.016580000000001</v>
      </c>
      <c r="D4501">
        <v>192.33599917924499</v>
      </c>
      <c r="E4501">
        <v>31.807999951720301</v>
      </c>
      <c r="F4501">
        <v>11.519999959766899</v>
      </c>
    </row>
    <row r="4502" spans="1:6" x14ac:dyDescent="0.2">
      <c r="A4502">
        <v>736787.66700000002</v>
      </c>
      <c r="B4502">
        <v>-149.59394399999999</v>
      </c>
      <c r="C4502">
        <v>-17.016580000000001</v>
      </c>
      <c r="D4502">
        <v>192.33599917924499</v>
      </c>
      <c r="E4502">
        <v>31.807999951720301</v>
      </c>
      <c r="F4502">
        <v>11.519999959766899</v>
      </c>
    </row>
    <row r="4503" spans="1:6" x14ac:dyDescent="0.2">
      <c r="A4503">
        <v>736787.66709999996</v>
      </c>
      <c r="B4503">
        <v>-149.59393399999999</v>
      </c>
      <c r="C4503">
        <v>-17.016584999999999</v>
      </c>
      <c r="D4503">
        <v>200</v>
      </c>
      <c r="E4503">
        <v>32.208799987125403</v>
      </c>
      <c r="F4503">
        <v>11.8982400025749</v>
      </c>
    </row>
    <row r="4504" spans="1:6" x14ac:dyDescent="0.2">
      <c r="A4504">
        <v>736787.66709999996</v>
      </c>
      <c r="B4504">
        <v>-149.59392399999999</v>
      </c>
      <c r="C4504">
        <v>-17.016587999999999</v>
      </c>
      <c r="D4504">
        <v>200</v>
      </c>
      <c r="E4504">
        <v>32.208799987125403</v>
      </c>
      <c r="F4504">
        <v>11.8982400025749</v>
      </c>
    </row>
    <row r="4505" spans="1:6" x14ac:dyDescent="0.2">
      <c r="A4505">
        <v>736787.66709999996</v>
      </c>
      <c r="B4505">
        <v>-149.59391199999999</v>
      </c>
      <c r="C4505">
        <v>-17.016589</v>
      </c>
      <c r="D4505">
        <v>200</v>
      </c>
      <c r="E4505">
        <v>32.208799987125403</v>
      </c>
      <c r="F4505">
        <v>11.8982400025749</v>
      </c>
    </row>
    <row r="4506" spans="1:6" x14ac:dyDescent="0.2">
      <c r="A4506">
        <v>736787.66709999996</v>
      </c>
      <c r="B4506">
        <v>-149.59390300000001</v>
      </c>
      <c r="C4506">
        <v>-17.016593</v>
      </c>
      <c r="D4506">
        <v>200</v>
      </c>
      <c r="E4506">
        <v>32.208799987125403</v>
      </c>
      <c r="F4506">
        <v>11.8982400025749</v>
      </c>
    </row>
    <row r="4507" spans="1:6" x14ac:dyDescent="0.2">
      <c r="A4507">
        <v>736787.66709999996</v>
      </c>
      <c r="B4507">
        <v>-149.59389200000001</v>
      </c>
      <c r="C4507">
        <v>-17.016594000000001</v>
      </c>
      <c r="D4507">
        <v>200</v>
      </c>
      <c r="E4507">
        <v>32.208799987125403</v>
      </c>
      <c r="F4507">
        <v>11.8982400025749</v>
      </c>
    </row>
    <row r="4508" spans="1:6" x14ac:dyDescent="0.2">
      <c r="A4508">
        <v>736787.66709999996</v>
      </c>
      <c r="B4508">
        <v>-149.59388000000001</v>
      </c>
      <c r="C4508">
        <v>-17.016594999999999</v>
      </c>
      <c r="D4508">
        <v>200</v>
      </c>
      <c r="E4508">
        <v>32.208799987125403</v>
      </c>
      <c r="F4508">
        <v>11.8982400025749</v>
      </c>
    </row>
    <row r="4509" spans="1:6" x14ac:dyDescent="0.2">
      <c r="A4509">
        <v>736787.66709999996</v>
      </c>
      <c r="B4509">
        <v>-149.59387000000001</v>
      </c>
      <c r="C4509">
        <v>-17.016601999999999</v>
      </c>
      <c r="D4509">
        <v>200</v>
      </c>
      <c r="E4509">
        <v>32.208799987125403</v>
      </c>
      <c r="F4509">
        <v>11.8982400025749</v>
      </c>
    </row>
    <row r="4510" spans="1:6" x14ac:dyDescent="0.2">
      <c r="A4510">
        <v>736787.66709999996</v>
      </c>
      <c r="B4510">
        <v>-149.59385499999999</v>
      </c>
      <c r="C4510">
        <v>-17.016601999999999</v>
      </c>
      <c r="D4510">
        <v>200</v>
      </c>
      <c r="E4510">
        <v>32.208799987125403</v>
      </c>
      <c r="F4510">
        <v>11.8982400025749</v>
      </c>
    </row>
    <row r="4511" spans="1:6" x14ac:dyDescent="0.2">
      <c r="A4511">
        <v>736787.66720000003</v>
      </c>
      <c r="B4511">
        <v>-149.593842</v>
      </c>
      <c r="C4511">
        <v>-17.016597999999998</v>
      </c>
      <c r="D4511">
        <v>194.940800598669</v>
      </c>
      <c r="E4511">
        <v>32.299999999999997</v>
      </c>
      <c r="F4511">
        <v>11.578080035727</v>
      </c>
    </row>
    <row r="4512" spans="1:6" x14ac:dyDescent="0.2">
      <c r="A4512">
        <v>736787.66720000003</v>
      </c>
      <c r="B4512">
        <v>-149.593829</v>
      </c>
      <c r="C4512">
        <v>-17.016597000000001</v>
      </c>
      <c r="D4512">
        <v>194.940800598669</v>
      </c>
      <c r="E4512">
        <v>32.299999999999997</v>
      </c>
      <c r="F4512">
        <v>11.578080035727</v>
      </c>
    </row>
    <row r="4513" spans="1:6" x14ac:dyDescent="0.2">
      <c r="A4513">
        <v>736787.66720000003</v>
      </c>
      <c r="B4513">
        <v>-149.593818</v>
      </c>
      <c r="C4513">
        <v>-17.016591999999999</v>
      </c>
      <c r="D4513">
        <v>194.940800598669</v>
      </c>
      <c r="E4513">
        <v>32.299999999999997</v>
      </c>
      <c r="F4513">
        <v>11.578080035727</v>
      </c>
    </row>
    <row r="4514" spans="1:6" x14ac:dyDescent="0.2">
      <c r="A4514">
        <v>736787.66720000003</v>
      </c>
      <c r="B4514">
        <v>-149.593805</v>
      </c>
      <c r="C4514">
        <v>-17.016586</v>
      </c>
      <c r="D4514">
        <v>194.940800598669</v>
      </c>
      <c r="E4514">
        <v>32.299999999999997</v>
      </c>
      <c r="F4514">
        <v>11.578080035727</v>
      </c>
    </row>
    <row r="4515" spans="1:6" x14ac:dyDescent="0.2">
      <c r="A4515">
        <v>736787.66720000003</v>
      </c>
      <c r="B4515">
        <v>-149.59378899999999</v>
      </c>
      <c r="C4515">
        <v>-17.016584999999999</v>
      </c>
      <c r="D4515">
        <v>194.940800598669</v>
      </c>
      <c r="E4515">
        <v>32.299999999999997</v>
      </c>
      <c r="F4515">
        <v>11.578080035727</v>
      </c>
    </row>
    <row r="4516" spans="1:6" x14ac:dyDescent="0.2">
      <c r="A4516">
        <v>736787.66720000003</v>
      </c>
      <c r="B4516">
        <v>-149.59377699999999</v>
      </c>
      <c r="C4516">
        <v>-17.016582</v>
      </c>
      <c r="D4516">
        <v>194.940800598669</v>
      </c>
      <c r="E4516">
        <v>32.299999999999997</v>
      </c>
      <c r="F4516">
        <v>11.578080035727</v>
      </c>
    </row>
    <row r="4517" spans="1:6" x14ac:dyDescent="0.2">
      <c r="A4517">
        <v>736787.66720000003</v>
      </c>
      <c r="B4517">
        <v>-149.59376499999999</v>
      </c>
      <c r="C4517">
        <v>-17.016577000000002</v>
      </c>
      <c r="D4517">
        <v>194.940800598669</v>
      </c>
      <c r="E4517">
        <v>32.299999999999997</v>
      </c>
      <c r="F4517">
        <v>11.578080035727</v>
      </c>
    </row>
    <row r="4518" spans="1:6" x14ac:dyDescent="0.2">
      <c r="A4518">
        <v>736787.66720000003</v>
      </c>
      <c r="B4518">
        <v>-149.59374800000001</v>
      </c>
      <c r="C4518">
        <v>-17.016573999999999</v>
      </c>
      <c r="D4518">
        <v>194.940800598669</v>
      </c>
      <c r="E4518">
        <v>32.299999999999997</v>
      </c>
      <c r="F4518">
        <v>11.578080035727</v>
      </c>
    </row>
    <row r="4519" spans="1:6" x14ac:dyDescent="0.2">
      <c r="A4519">
        <v>736787.66720000003</v>
      </c>
      <c r="B4519">
        <v>-149.593737</v>
      </c>
      <c r="C4519">
        <v>-17.016576000000001</v>
      </c>
      <c r="D4519">
        <v>194.940800598669</v>
      </c>
      <c r="E4519">
        <v>32.299999999999997</v>
      </c>
      <c r="F4519">
        <v>11.578080035727</v>
      </c>
    </row>
    <row r="4520" spans="1:6" x14ac:dyDescent="0.2">
      <c r="A4520">
        <v>736787.66729999997</v>
      </c>
      <c r="B4520">
        <v>-149.593727</v>
      </c>
      <c r="C4520">
        <v>-17.016576000000001</v>
      </c>
      <c r="D4520" t="s">
        <v>93</v>
      </c>
      <c r="E4520" t="s">
        <v>93</v>
      </c>
      <c r="F4520" t="s">
        <v>93</v>
      </c>
    </row>
    <row r="4521" spans="1:6" x14ac:dyDescent="0.2">
      <c r="A4521">
        <v>736787.66729999997</v>
      </c>
      <c r="B4521">
        <v>-149.593716</v>
      </c>
      <c r="C4521">
        <v>-17.016577999999999</v>
      </c>
      <c r="D4521" t="s">
        <v>93</v>
      </c>
      <c r="E4521" t="s">
        <v>93</v>
      </c>
      <c r="F4521" t="s">
        <v>93</v>
      </c>
    </row>
    <row r="4522" spans="1:6" x14ac:dyDescent="0.2">
      <c r="A4522">
        <v>736787.66729999997</v>
      </c>
      <c r="B4522">
        <v>-149.593705</v>
      </c>
      <c r="C4522">
        <v>-17.016579</v>
      </c>
      <c r="D4522" t="s">
        <v>93</v>
      </c>
      <c r="E4522" t="s">
        <v>93</v>
      </c>
      <c r="F4522" t="s">
        <v>93</v>
      </c>
    </row>
    <row r="4523" spans="1:6" x14ac:dyDescent="0.2">
      <c r="A4523">
        <v>736787.66729999997</v>
      </c>
      <c r="B4523">
        <v>-149.593693</v>
      </c>
      <c r="C4523">
        <v>-17.016580000000001</v>
      </c>
      <c r="D4523" t="s">
        <v>93</v>
      </c>
      <c r="E4523" t="s">
        <v>93</v>
      </c>
      <c r="F4523" t="s">
        <v>93</v>
      </c>
    </row>
    <row r="4524" spans="1:6" x14ac:dyDescent="0.2">
      <c r="A4524">
        <v>736787.66729999997</v>
      </c>
      <c r="B4524">
        <v>-149.593683</v>
      </c>
      <c r="C4524">
        <v>-17.016583000000001</v>
      </c>
      <c r="D4524" t="s">
        <v>93</v>
      </c>
      <c r="E4524" t="s">
        <v>93</v>
      </c>
      <c r="F4524" t="s">
        <v>93</v>
      </c>
    </row>
    <row r="4525" spans="1:6" x14ac:dyDescent="0.2">
      <c r="A4525">
        <v>736787.66729999997</v>
      </c>
      <c r="B4525">
        <v>-149.593671</v>
      </c>
      <c r="C4525">
        <v>-17.016587000000001</v>
      </c>
      <c r="D4525" t="s">
        <v>93</v>
      </c>
      <c r="E4525" t="s">
        <v>93</v>
      </c>
      <c r="F4525" t="s">
        <v>93</v>
      </c>
    </row>
    <row r="4526" spans="1:6" x14ac:dyDescent="0.2">
      <c r="A4526">
        <v>736787.66729999997</v>
      </c>
      <c r="B4526">
        <v>-149.59367</v>
      </c>
      <c r="C4526">
        <v>-17.016590000000001</v>
      </c>
      <c r="D4526" t="s">
        <v>93</v>
      </c>
      <c r="E4526" t="s">
        <v>93</v>
      </c>
      <c r="F4526" t="s">
        <v>93</v>
      </c>
    </row>
    <row r="4527" spans="1:6" x14ac:dyDescent="0.2">
      <c r="A4527">
        <v>736787.66760000004</v>
      </c>
      <c r="B4527">
        <v>-149.59366900000001</v>
      </c>
      <c r="C4527">
        <v>-17.0166</v>
      </c>
      <c r="D4527" t="s">
        <v>93</v>
      </c>
      <c r="E4527" t="s">
        <v>93</v>
      </c>
      <c r="F4527" t="s">
        <v>93</v>
      </c>
    </row>
    <row r="4528" spans="1:6" x14ac:dyDescent="0.2">
      <c r="A4528">
        <v>736787.66780000005</v>
      </c>
      <c r="B4528">
        <v>-149.593673</v>
      </c>
      <c r="C4528">
        <v>-17.016608999999999</v>
      </c>
      <c r="D4528" t="s">
        <v>93</v>
      </c>
      <c r="E4528" t="s">
        <v>93</v>
      </c>
      <c r="F4528" t="s">
        <v>93</v>
      </c>
    </row>
    <row r="4529" spans="1:6" x14ac:dyDescent="0.2">
      <c r="A4529">
        <v>736787.6679</v>
      </c>
      <c r="B4529">
        <v>-149.59366499999999</v>
      </c>
      <c r="C4529">
        <v>-17.016615999999999</v>
      </c>
      <c r="D4529" t="s">
        <v>93</v>
      </c>
      <c r="E4529" t="s">
        <v>93</v>
      </c>
      <c r="F4529" t="s">
        <v>93</v>
      </c>
    </row>
    <row r="4530" spans="1:6" x14ac:dyDescent="0.2">
      <c r="A4530">
        <v>736787.6679</v>
      </c>
      <c r="B4530">
        <v>-149.59365500000001</v>
      </c>
      <c r="C4530">
        <v>-17.016611999999999</v>
      </c>
      <c r="D4530" t="s">
        <v>93</v>
      </c>
      <c r="E4530" t="s">
        <v>93</v>
      </c>
      <c r="F4530" t="s">
        <v>93</v>
      </c>
    </row>
    <row r="4531" spans="1:6" x14ac:dyDescent="0.2">
      <c r="A4531">
        <v>736787.66799999995</v>
      </c>
      <c r="B4531">
        <v>-149.59364500000001</v>
      </c>
      <c r="C4531">
        <v>-17.01661</v>
      </c>
      <c r="D4531" t="s">
        <v>93</v>
      </c>
      <c r="E4531" t="s">
        <v>93</v>
      </c>
      <c r="F4531" t="s">
        <v>93</v>
      </c>
    </row>
    <row r="4532" spans="1:6" x14ac:dyDescent="0.2">
      <c r="A4532">
        <v>736787.66799999995</v>
      </c>
      <c r="B4532">
        <v>-149.59363400000001</v>
      </c>
      <c r="C4532">
        <v>-17.016615000000002</v>
      </c>
      <c r="D4532" t="s">
        <v>93</v>
      </c>
      <c r="E4532" t="s">
        <v>93</v>
      </c>
      <c r="F4532" t="s">
        <v>93</v>
      </c>
    </row>
    <row r="4533" spans="1:6" x14ac:dyDescent="0.2">
      <c r="A4533">
        <v>736787.66799999995</v>
      </c>
      <c r="B4533">
        <v>-149.59361799999999</v>
      </c>
      <c r="C4533">
        <v>-17.016613</v>
      </c>
      <c r="D4533" t="s">
        <v>93</v>
      </c>
      <c r="E4533" t="s">
        <v>93</v>
      </c>
      <c r="F4533" t="s">
        <v>93</v>
      </c>
    </row>
    <row r="4534" spans="1:6" x14ac:dyDescent="0.2">
      <c r="A4534">
        <v>736787.66799999995</v>
      </c>
      <c r="B4534">
        <v>-149.59360100000001</v>
      </c>
      <c r="C4534">
        <v>-17.016611000000001</v>
      </c>
      <c r="D4534" t="s">
        <v>93</v>
      </c>
      <c r="E4534" t="s">
        <v>93</v>
      </c>
      <c r="F4534" t="s">
        <v>93</v>
      </c>
    </row>
    <row r="4535" spans="1:6" x14ac:dyDescent="0.2">
      <c r="A4535">
        <v>736787.66799999995</v>
      </c>
      <c r="B4535">
        <v>-149.593591</v>
      </c>
      <c r="C4535">
        <v>-17.016614000000001</v>
      </c>
      <c r="D4535" t="s">
        <v>93</v>
      </c>
      <c r="E4535" t="s">
        <v>93</v>
      </c>
      <c r="F4535" t="s">
        <v>93</v>
      </c>
    </row>
    <row r="4536" spans="1:6" x14ac:dyDescent="0.2">
      <c r="A4536">
        <v>736787.66799999995</v>
      </c>
      <c r="B4536">
        <v>-149.59357399999999</v>
      </c>
      <c r="C4536">
        <v>-17.016613</v>
      </c>
      <c r="D4536" t="s">
        <v>93</v>
      </c>
      <c r="E4536" t="s">
        <v>93</v>
      </c>
      <c r="F4536" t="s">
        <v>93</v>
      </c>
    </row>
    <row r="4537" spans="1:6" x14ac:dyDescent="0.2">
      <c r="A4537">
        <v>736787.66810000001</v>
      </c>
      <c r="B4537">
        <v>-149.593559</v>
      </c>
      <c r="C4537">
        <v>-17.016611999999999</v>
      </c>
      <c r="D4537" t="s">
        <v>93</v>
      </c>
      <c r="E4537" t="s">
        <v>93</v>
      </c>
      <c r="F4537" t="s">
        <v>93</v>
      </c>
    </row>
    <row r="4538" spans="1:6" x14ac:dyDescent="0.2">
      <c r="A4538">
        <v>736787.66810000001</v>
      </c>
      <c r="B4538">
        <v>-149.59354500000001</v>
      </c>
      <c r="C4538">
        <v>-17.016614000000001</v>
      </c>
      <c r="D4538" t="s">
        <v>93</v>
      </c>
      <c r="E4538" t="s">
        <v>93</v>
      </c>
      <c r="F4538" t="s">
        <v>93</v>
      </c>
    </row>
    <row r="4539" spans="1:6" x14ac:dyDescent="0.2">
      <c r="A4539">
        <v>736787.66810000001</v>
      </c>
      <c r="B4539">
        <v>-149.593536</v>
      </c>
      <c r="C4539">
        <v>-17.016618999999999</v>
      </c>
      <c r="D4539" t="s">
        <v>93</v>
      </c>
      <c r="E4539" t="s">
        <v>93</v>
      </c>
      <c r="F4539" t="s">
        <v>93</v>
      </c>
    </row>
    <row r="4540" spans="1:6" x14ac:dyDescent="0.2">
      <c r="A4540">
        <v>736787.66810000001</v>
      </c>
      <c r="B4540">
        <v>-149.593526</v>
      </c>
      <c r="C4540">
        <v>-17.016625000000001</v>
      </c>
      <c r="D4540" t="s">
        <v>93</v>
      </c>
      <c r="E4540" t="s">
        <v>93</v>
      </c>
      <c r="F4540" t="s">
        <v>93</v>
      </c>
    </row>
    <row r="4541" spans="1:6" x14ac:dyDescent="0.2">
      <c r="A4541">
        <v>736787.66819999996</v>
      </c>
      <c r="B4541">
        <v>-149.593536</v>
      </c>
      <c r="C4541">
        <v>-17.016625000000001</v>
      </c>
      <c r="D4541" t="s">
        <v>93</v>
      </c>
      <c r="E4541" t="s">
        <v>93</v>
      </c>
      <c r="F4541" t="s">
        <v>93</v>
      </c>
    </row>
    <row r="4542" spans="1:6" x14ac:dyDescent="0.2">
      <c r="A4542">
        <v>736787.66819999996</v>
      </c>
      <c r="B4542">
        <v>-149.593546</v>
      </c>
      <c r="C4542">
        <v>-17.016624</v>
      </c>
      <c r="D4542" t="s">
        <v>93</v>
      </c>
      <c r="E4542" t="s">
        <v>93</v>
      </c>
      <c r="F4542" t="s">
        <v>93</v>
      </c>
    </row>
    <row r="4543" spans="1:6" x14ac:dyDescent="0.2">
      <c r="A4543">
        <v>736787.66830000002</v>
      </c>
      <c r="B4543">
        <v>-149.593535</v>
      </c>
      <c r="C4543">
        <v>-17.016615999999999</v>
      </c>
      <c r="D4543" t="s">
        <v>93</v>
      </c>
      <c r="E4543" t="s">
        <v>93</v>
      </c>
      <c r="F4543" t="s">
        <v>93</v>
      </c>
    </row>
    <row r="4544" spans="1:6" x14ac:dyDescent="0.2">
      <c r="A4544">
        <v>736787.66830000002</v>
      </c>
      <c r="B4544">
        <v>-149.59352200000001</v>
      </c>
      <c r="C4544">
        <v>-17.016622000000002</v>
      </c>
      <c r="D4544" t="s">
        <v>93</v>
      </c>
      <c r="E4544" t="s">
        <v>93</v>
      </c>
      <c r="F4544" t="s">
        <v>93</v>
      </c>
    </row>
    <row r="4545" spans="1:6" x14ac:dyDescent="0.2">
      <c r="A4545">
        <v>736787.66830000002</v>
      </c>
      <c r="B4545">
        <v>-149.59354200000001</v>
      </c>
      <c r="C4545">
        <v>-17.016625000000001</v>
      </c>
      <c r="D4545" t="s">
        <v>93</v>
      </c>
      <c r="E4545" t="s">
        <v>93</v>
      </c>
      <c r="F4545" t="s">
        <v>93</v>
      </c>
    </row>
    <row r="4546" spans="1:6" x14ac:dyDescent="0.2">
      <c r="A4546">
        <v>736787.66830000002</v>
      </c>
      <c r="B4546">
        <v>-149.59355400000001</v>
      </c>
      <c r="C4546">
        <v>-17.016622000000002</v>
      </c>
      <c r="D4546" t="s">
        <v>93</v>
      </c>
      <c r="E4546" t="s">
        <v>93</v>
      </c>
      <c r="F4546" t="s">
        <v>93</v>
      </c>
    </row>
    <row r="4547" spans="1:6" x14ac:dyDescent="0.2">
      <c r="A4547">
        <v>736787.66830000002</v>
      </c>
      <c r="B4547">
        <v>-149.59356199999999</v>
      </c>
      <c r="C4547">
        <v>-17.016613</v>
      </c>
      <c r="D4547" t="s">
        <v>93</v>
      </c>
      <c r="E4547" t="s">
        <v>93</v>
      </c>
      <c r="F4547" t="s">
        <v>93</v>
      </c>
    </row>
    <row r="4548" spans="1:6" x14ac:dyDescent="0.2">
      <c r="A4548">
        <v>736787.66839999997</v>
      </c>
      <c r="B4548">
        <v>-149.593571</v>
      </c>
      <c r="C4548">
        <v>-17.016603</v>
      </c>
      <c r="D4548" t="s">
        <v>93</v>
      </c>
      <c r="E4548" t="s">
        <v>93</v>
      </c>
      <c r="F4548" t="s">
        <v>93</v>
      </c>
    </row>
    <row r="4549" spans="1:6" x14ac:dyDescent="0.2">
      <c r="A4549">
        <v>736787.66839999997</v>
      </c>
      <c r="B4549">
        <v>-149.59358800000001</v>
      </c>
      <c r="C4549">
        <v>-17.016594000000001</v>
      </c>
      <c r="D4549" t="s">
        <v>93</v>
      </c>
      <c r="E4549" t="s">
        <v>93</v>
      </c>
      <c r="F4549" t="s">
        <v>93</v>
      </c>
    </row>
    <row r="4550" spans="1:6" x14ac:dyDescent="0.2">
      <c r="A4550">
        <v>736787.66839999997</v>
      </c>
      <c r="B4550">
        <v>-149.59360699999999</v>
      </c>
      <c r="C4550">
        <v>-17.016587999999999</v>
      </c>
      <c r="D4550" t="s">
        <v>93</v>
      </c>
      <c r="E4550" t="s">
        <v>93</v>
      </c>
      <c r="F4550" t="s">
        <v>93</v>
      </c>
    </row>
    <row r="4551" spans="1:6" x14ac:dyDescent="0.2">
      <c r="A4551">
        <v>736787.66839999997</v>
      </c>
      <c r="B4551">
        <v>-149.59362100000001</v>
      </c>
      <c r="C4551">
        <v>-17.016584999999999</v>
      </c>
      <c r="D4551" t="s">
        <v>93</v>
      </c>
      <c r="E4551" t="s">
        <v>93</v>
      </c>
      <c r="F4551" t="s">
        <v>93</v>
      </c>
    </row>
    <row r="4552" spans="1:6" x14ac:dyDescent="0.2">
      <c r="A4552">
        <v>736787.66839999997</v>
      </c>
      <c r="B4552">
        <v>-149.59363400000001</v>
      </c>
      <c r="C4552">
        <v>-17.016580000000001</v>
      </c>
      <c r="D4552" t="s">
        <v>93</v>
      </c>
      <c r="E4552" t="s">
        <v>93</v>
      </c>
      <c r="F4552" t="s">
        <v>93</v>
      </c>
    </row>
    <row r="4553" spans="1:6" x14ac:dyDescent="0.2">
      <c r="A4553">
        <v>736787.66839999997</v>
      </c>
      <c r="B4553">
        <v>-149.59365299999999</v>
      </c>
      <c r="C4553">
        <v>-17.016573000000001</v>
      </c>
      <c r="D4553" t="s">
        <v>93</v>
      </c>
      <c r="E4553" t="s">
        <v>93</v>
      </c>
      <c r="F4553" t="s">
        <v>93</v>
      </c>
    </row>
    <row r="4554" spans="1:6" x14ac:dyDescent="0.2">
      <c r="A4554">
        <v>736787.66839999997</v>
      </c>
      <c r="B4554">
        <v>-149.59366399999999</v>
      </c>
      <c r="C4554">
        <v>-17.016566000000001</v>
      </c>
      <c r="D4554" t="s">
        <v>93</v>
      </c>
      <c r="E4554" t="s">
        <v>93</v>
      </c>
      <c r="F4554" t="s">
        <v>93</v>
      </c>
    </row>
    <row r="4555" spans="1:6" x14ac:dyDescent="0.2">
      <c r="A4555">
        <v>736787.66850000003</v>
      </c>
      <c r="B4555">
        <v>-149.59367</v>
      </c>
      <c r="C4555">
        <v>-17.016558</v>
      </c>
      <c r="D4555" t="s">
        <v>93</v>
      </c>
      <c r="E4555" t="s">
        <v>93</v>
      </c>
      <c r="F4555" t="s">
        <v>93</v>
      </c>
    </row>
    <row r="4556" spans="1:6" x14ac:dyDescent="0.2">
      <c r="A4556">
        <v>736787.66850000003</v>
      </c>
      <c r="B4556">
        <v>-149.59367700000001</v>
      </c>
      <c r="C4556">
        <v>-17.016551</v>
      </c>
      <c r="D4556" t="s">
        <v>93</v>
      </c>
      <c r="E4556" t="s">
        <v>93</v>
      </c>
      <c r="F4556" t="s">
        <v>93</v>
      </c>
    </row>
    <row r="4557" spans="1:6" x14ac:dyDescent="0.2">
      <c r="A4557">
        <v>736787.66850000003</v>
      </c>
      <c r="B4557">
        <v>-149.59368900000001</v>
      </c>
      <c r="C4557">
        <v>-17.016546000000002</v>
      </c>
      <c r="D4557" t="s">
        <v>93</v>
      </c>
      <c r="E4557" t="s">
        <v>93</v>
      </c>
      <c r="F4557" t="s">
        <v>93</v>
      </c>
    </row>
    <row r="4558" spans="1:6" x14ac:dyDescent="0.2">
      <c r="A4558">
        <v>736787.66850000003</v>
      </c>
      <c r="B4558">
        <v>-149.593695</v>
      </c>
      <c r="C4558">
        <v>-17.016535000000001</v>
      </c>
      <c r="D4558" t="s">
        <v>93</v>
      </c>
      <c r="E4558" t="s">
        <v>93</v>
      </c>
      <c r="F4558" t="s">
        <v>93</v>
      </c>
    </row>
    <row r="4559" spans="1:6" x14ac:dyDescent="0.2">
      <c r="A4559">
        <v>736787.66859999998</v>
      </c>
      <c r="B4559">
        <v>-149.59370699999999</v>
      </c>
      <c r="C4559">
        <v>-17.016527</v>
      </c>
      <c r="D4559" t="s">
        <v>93</v>
      </c>
      <c r="E4559" t="s">
        <v>93</v>
      </c>
      <c r="F4559" t="s">
        <v>93</v>
      </c>
    </row>
    <row r="4560" spans="1:6" x14ac:dyDescent="0.2">
      <c r="A4560">
        <v>736787.66859999998</v>
      </c>
      <c r="B4560">
        <v>-149.593717</v>
      </c>
      <c r="C4560">
        <v>-17.016515999999999</v>
      </c>
      <c r="D4560" t="s">
        <v>93</v>
      </c>
      <c r="E4560" t="s">
        <v>93</v>
      </c>
      <c r="F4560" t="s">
        <v>93</v>
      </c>
    </row>
    <row r="4561" spans="1:6" x14ac:dyDescent="0.2">
      <c r="A4561">
        <v>736787.66859999998</v>
      </c>
      <c r="B4561">
        <v>-149.59372500000001</v>
      </c>
      <c r="C4561">
        <v>-17.01651</v>
      </c>
      <c r="D4561" t="s">
        <v>93</v>
      </c>
      <c r="E4561" t="s">
        <v>93</v>
      </c>
      <c r="F4561" t="s">
        <v>93</v>
      </c>
    </row>
    <row r="4562" spans="1:6" x14ac:dyDescent="0.2">
      <c r="A4562">
        <v>736787.66859999998</v>
      </c>
      <c r="B4562">
        <v>-149.59373600000001</v>
      </c>
      <c r="C4562">
        <v>-17.016499</v>
      </c>
      <c r="D4562" t="s">
        <v>93</v>
      </c>
      <c r="E4562" t="s">
        <v>93</v>
      </c>
      <c r="F4562" t="s">
        <v>93</v>
      </c>
    </row>
    <row r="4563" spans="1:6" x14ac:dyDescent="0.2">
      <c r="A4563">
        <v>736787.66870000004</v>
      </c>
      <c r="B4563">
        <v>-149.59374299999999</v>
      </c>
      <c r="C4563">
        <v>-17.016489</v>
      </c>
      <c r="D4563" t="s">
        <v>93</v>
      </c>
      <c r="E4563" t="s">
        <v>93</v>
      </c>
      <c r="F4563" t="s">
        <v>93</v>
      </c>
    </row>
    <row r="4564" spans="1:6" x14ac:dyDescent="0.2">
      <c r="A4564">
        <v>736787.66870000004</v>
      </c>
      <c r="B4564">
        <v>-149.59375199999999</v>
      </c>
      <c r="C4564">
        <v>-17.016477999999999</v>
      </c>
      <c r="D4564" t="s">
        <v>93</v>
      </c>
      <c r="E4564" t="s">
        <v>93</v>
      </c>
      <c r="F4564" t="s">
        <v>93</v>
      </c>
    </row>
    <row r="4565" spans="1:6" x14ac:dyDescent="0.2">
      <c r="A4565">
        <v>736787.66870000004</v>
      </c>
      <c r="B4565">
        <v>-149.59376399999999</v>
      </c>
      <c r="C4565">
        <v>-17.016466999999999</v>
      </c>
      <c r="D4565" t="s">
        <v>93</v>
      </c>
      <c r="E4565" t="s">
        <v>93</v>
      </c>
      <c r="F4565" t="s">
        <v>93</v>
      </c>
    </row>
    <row r="4566" spans="1:6" x14ac:dyDescent="0.2">
      <c r="A4566">
        <v>736787.66879999998</v>
      </c>
      <c r="B4566">
        <v>-149.59377599999999</v>
      </c>
      <c r="C4566">
        <v>-17.016461</v>
      </c>
      <c r="D4566" t="s">
        <v>93</v>
      </c>
      <c r="E4566" t="s">
        <v>93</v>
      </c>
      <c r="F4566" t="s">
        <v>93</v>
      </c>
    </row>
    <row r="4567" spans="1:6" x14ac:dyDescent="0.2">
      <c r="A4567">
        <v>736787.66879999998</v>
      </c>
      <c r="B4567">
        <v>-149.593782</v>
      </c>
      <c r="C4567">
        <v>-17.016452999999998</v>
      </c>
      <c r="D4567" t="s">
        <v>93</v>
      </c>
      <c r="E4567" t="s">
        <v>93</v>
      </c>
      <c r="F4567" t="s">
        <v>93</v>
      </c>
    </row>
    <row r="4568" spans="1:6" x14ac:dyDescent="0.2">
      <c r="A4568">
        <v>736787.66879999998</v>
      </c>
      <c r="B4568">
        <v>-149.59379200000001</v>
      </c>
      <c r="C4568">
        <v>-17.016435999999999</v>
      </c>
      <c r="D4568" t="s">
        <v>93</v>
      </c>
      <c r="E4568" t="s">
        <v>93</v>
      </c>
      <c r="F4568" t="s">
        <v>93</v>
      </c>
    </row>
    <row r="4569" spans="1:6" x14ac:dyDescent="0.2">
      <c r="A4569">
        <v>736787.66890000005</v>
      </c>
      <c r="B4569">
        <v>-149.59392800000001</v>
      </c>
      <c r="C4569">
        <v>-17.016226</v>
      </c>
      <c r="D4569" t="s">
        <v>93</v>
      </c>
      <c r="E4569" t="s">
        <v>93</v>
      </c>
      <c r="F4569" t="s">
        <v>93</v>
      </c>
    </row>
    <row r="4570" spans="1:6" x14ac:dyDescent="0.2">
      <c r="A4570">
        <v>736787.66899999999</v>
      </c>
      <c r="B4570">
        <v>-149.59403</v>
      </c>
      <c r="C4570">
        <v>-17.016186999999999</v>
      </c>
      <c r="D4570" t="s">
        <v>93</v>
      </c>
      <c r="E4570" t="s">
        <v>93</v>
      </c>
      <c r="F4570" t="s">
        <v>93</v>
      </c>
    </row>
    <row r="4571" spans="1:6" x14ac:dyDescent="0.2">
      <c r="A4571">
        <v>736787.6692</v>
      </c>
      <c r="B4571">
        <v>-149.59426400000001</v>
      </c>
      <c r="C4571">
        <v>-17.015726999999998</v>
      </c>
      <c r="D4571" t="s">
        <v>93</v>
      </c>
      <c r="E4571" t="s">
        <v>93</v>
      </c>
      <c r="F4571" t="s">
        <v>93</v>
      </c>
    </row>
    <row r="4572" spans="1:6" x14ac:dyDescent="0.2">
      <c r="A4572">
        <v>736787.6692</v>
      </c>
      <c r="B4572">
        <v>-149.59417999999999</v>
      </c>
      <c r="C4572">
        <v>-17.015732</v>
      </c>
      <c r="D4572" t="s">
        <v>93</v>
      </c>
      <c r="E4572" t="s">
        <v>93</v>
      </c>
      <c r="F4572" t="s">
        <v>93</v>
      </c>
    </row>
    <row r="4573" spans="1:6" x14ac:dyDescent="0.2">
      <c r="A4573">
        <v>736787.66929999995</v>
      </c>
      <c r="B4573">
        <v>-149.59453600000001</v>
      </c>
      <c r="C4573">
        <v>-17.015857</v>
      </c>
      <c r="D4573" t="s">
        <v>93</v>
      </c>
      <c r="E4573" t="s">
        <v>93</v>
      </c>
      <c r="F4573" t="s">
        <v>93</v>
      </c>
    </row>
    <row r="4574" spans="1:6" x14ac:dyDescent="0.2">
      <c r="A4574">
        <v>736787.66929999995</v>
      </c>
      <c r="B4574">
        <v>-149.59446800000001</v>
      </c>
      <c r="C4574">
        <v>-17.015899000000001</v>
      </c>
      <c r="D4574" t="s">
        <v>93</v>
      </c>
      <c r="E4574" t="s">
        <v>93</v>
      </c>
      <c r="F4574" t="s">
        <v>93</v>
      </c>
    </row>
    <row r="4575" spans="1:6" x14ac:dyDescent="0.2">
      <c r="A4575">
        <v>736787.66929999995</v>
      </c>
      <c r="B4575">
        <v>-149.594356</v>
      </c>
      <c r="C4575">
        <v>-17.016072000000001</v>
      </c>
      <c r="D4575" t="s">
        <v>93</v>
      </c>
      <c r="E4575" t="s">
        <v>93</v>
      </c>
      <c r="F4575" t="s">
        <v>93</v>
      </c>
    </row>
    <row r="4576" spans="1:6" x14ac:dyDescent="0.2">
      <c r="A4576">
        <v>736787.66929999995</v>
      </c>
      <c r="B4576">
        <v>-149.59427600000001</v>
      </c>
      <c r="C4576">
        <v>-17.016152000000002</v>
      </c>
      <c r="D4576" t="s">
        <v>93</v>
      </c>
      <c r="E4576" t="s">
        <v>93</v>
      </c>
      <c r="F4576" t="s">
        <v>93</v>
      </c>
    </row>
    <row r="4577" spans="1:6" x14ac:dyDescent="0.2">
      <c r="A4577">
        <v>736787.66940000001</v>
      </c>
      <c r="B4577">
        <v>-149.59420800000001</v>
      </c>
      <c r="C4577">
        <v>-17.016207999999999</v>
      </c>
      <c r="D4577" t="s">
        <v>93</v>
      </c>
      <c r="E4577" t="s">
        <v>93</v>
      </c>
      <c r="F4577" t="s">
        <v>93</v>
      </c>
    </row>
    <row r="4578" spans="1:6" x14ac:dyDescent="0.2">
      <c r="A4578">
        <v>736787.66940000001</v>
      </c>
      <c r="B4578">
        <v>-149.59411</v>
      </c>
      <c r="C4578">
        <v>-17.016268</v>
      </c>
      <c r="D4578" t="s">
        <v>93</v>
      </c>
      <c r="E4578" t="s">
        <v>93</v>
      </c>
      <c r="F4578" t="s">
        <v>93</v>
      </c>
    </row>
    <row r="4579" spans="1:6" x14ac:dyDescent="0.2">
      <c r="A4579">
        <v>736787.66940000001</v>
      </c>
      <c r="B4579">
        <v>-149.59405599999999</v>
      </c>
      <c r="C4579">
        <v>-17.016307000000001</v>
      </c>
      <c r="D4579" t="s">
        <v>93</v>
      </c>
      <c r="E4579" t="s">
        <v>93</v>
      </c>
      <c r="F4579" t="s">
        <v>93</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1FC09-C300-094E-99FB-638E79AA3030}">
  <dimension ref="A1:F203"/>
  <sheetViews>
    <sheetView workbookViewId="0">
      <selection activeCell="F150" sqref="F150"/>
    </sheetView>
  </sheetViews>
  <sheetFormatPr baseColWidth="10" defaultRowHeight="16" x14ac:dyDescent="0.2"/>
  <cols>
    <col min="1" max="1" width="24.83203125" bestFit="1" customWidth="1"/>
    <col min="2" max="2" width="11.1640625" bestFit="1" customWidth="1"/>
    <col min="3" max="3" width="12.33203125" bestFit="1" customWidth="1"/>
    <col min="5" max="5" width="27.83203125" bestFit="1" customWidth="1"/>
    <col min="8" max="8" width="27.83203125" bestFit="1" customWidth="1"/>
  </cols>
  <sheetData>
    <row r="1" spans="1:6" x14ac:dyDescent="0.2">
      <c r="A1" t="s">
        <v>146</v>
      </c>
    </row>
    <row r="2" spans="1:6" x14ac:dyDescent="0.2">
      <c r="A2" t="s">
        <v>147</v>
      </c>
    </row>
    <row r="4" spans="1:6" x14ac:dyDescent="0.2">
      <c r="A4" s="32" t="s">
        <v>137</v>
      </c>
    </row>
    <row r="5" spans="1:6" x14ac:dyDescent="0.2">
      <c r="A5" t="s">
        <v>138</v>
      </c>
      <c r="B5" t="s">
        <v>139</v>
      </c>
      <c r="C5" t="s">
        <v>140</v>
      </c>
      <c r="E5" t="s">
        <v>143</v>
      </c>
      <c r="F5">
        <f>MIN(C6:C140)</f>
        <v>35.719299999999997</v>
      </c>
    </row>
    <row r="6" spans="1:6" x14ac:dyDescent="0.2">
      <c r="A6">
        <v>0</v>
      </c>
      <c r="B6">
        <v>296.170706</v>
      </c>
      <c r="C6">
        <v>35.719299999999997</v>
      </c>
      <c r="E6" t="s">
        <v>144</v>
      </c>
      <c r="F6">
        <f>MAX(C6:C140)</f>
        <v>36.197000000000003</v>
      </c>
    </row>
    <row r="7" spans="1:6" x14ac:dyDescent="0.2">
      <c r="A7">
        <v>10</v>
      </c>
      <c r="B7">
        <v>296.17765000000003</v>
      </c>
      <c r="C7">
        <v>35.723300000000002</v>
      </c>
    </row>
    <row r="8" spans="1:6" x14ac:dyDescent="0.2">
      <c r="A8">
        <v>20</v>
      </c>
      <c r="B8">
        <v>296.184595</v>
      </c>
      <c r="C8">
        <v>35.7331</v>
      </c>
      <c r="E8" t="s">
        <v>141</v>
      </c>
    </row>
    <row r="9" spans="1:6" x14ac:dyDescent="0.2">
      <c r="A9">
        <v>30</v>
      </c>
      <c r="B9">
        <v>296.19153899999998</v>
      </c>
      <c r="C9">
        <v>35.738999999999997</v>
      </c>
      <c r="E9">
        <v>19.094999999999999</v>
      </c>
    </row>
    <row r="10" spans="1:6" x14ac:dyDescent="0.2">
      <c r="A10">
        <v>40</v>
      </c>
      <c r="B10">
        <v>296.19848400000001</v>
      </c>
      <c r="C10">
        <v>35.742800000000003</v>
      </c>
    </row>
    <row r="11" spans="1:6" x14ac:dyDescent="0.2">
      <c r="A11">
        <v>50</v>
      </c>
      <c r="B11">
        <v>296.20542799999998</v>
      </c>
      <c r="C11">
        <v>35.732300000000002</v>
      </c>
      <c r="E11" t="s">
        <v>142</v>
      </c>
    </row>
    <row r="12" spans="1:6" x14ac:dyDescent="0.2">
      <c r="A12">
        <v>60</v>
      </c>
      <c r="B12">
        <v>296.21237300000001</v>
      </c>
      <c r="C12">
        <v>35.737000000000002</v>
      </c>
      <c r="E12">
        <f>(-F5/F6)*(E9*10^-3)/((F5/F6)-1)</f>
        <v>1.4277999445258405</v>
      </c>
    </row>
    <row r="13" spans="1:6" x14ac:dyDescent="0.2">
      <c r="A13">
        <v>70</v>
      </c>
      <c r="B13">
        <v>296.21931699999999</v>
      </c>
      <c r="C13">
        <v>35.760199999999998</v>
      </c>
    </row>
    <row r="14" spans="1:6" x14ac:dyDescent="0.2">
      <c r="A14">
        <v>80</v>
      </c>
      <c r="B14">
        <v>296.22626200000002</v>
      </c>
      <c r="C14">
        <v>35.783999999999999</v>
      </c>
    </row>
    <row r="15" spans="1:6" x14ac:dyDescent="0.2">
      <c r="A15">
        <v>90</v>
      </c>
      <c r="B15">
        <v>296.233206</v>
      </c>
      <c r="C15">
        <v>35.809199999999997</v>
      </c>
    </row>
    <row r="16" spans="1:6" x14ac:dyDescent="0.2">
      <c r="A16">
        <v>100</v>
      </c>
      <c r="B16">
        <v>296.24015000000003</v>
      </c>
      <c r="C16">
        <v>35.838999999999999</v>
      </c>
    </row>
    <row r="17" spans="1:3" x14ac:dyDescent="0.2">
      <c r="A17">
        <v>110</v>
      </c>
      <c r="B17">
        <v>296.247095</v>
      </c>
      <c r="C17">
        <v>35.858800000000002</v>
      </c>
    </row>
    <row r="18" spans="1:3" x14ac:dyDescent="0.2">
      <c r="A18">
        <v>120</v>
      </c>
      <c r="B18">
        <v>296.25403899999998</v>
      </c>
      <c r="C18">
        <v>35.854999999999997</v>
      </c>
    </row>
    <row r="19" spans="1:3" x14ac:dyDescent="0.2">
      <c r="A19">
        <v>130</v>
      </c>
      <c r="B19">
        <v>296.26098400000001</v>
      </c>
      <c r="C19">
        <v>35.858199999999997</v>
      </c>
    </row>
    <row r="20" spans="1:3" x14ac:dyDescent="0.2">
      <c r="A20">
        <v>140</v>
      </c>
      <c r="B20">
        <v>296.26792799999998</v>
      </c>
      <c r="C20">
        <v>35.893099999999997</v>
      </c>
    </row>
    <row r="21" spans="1:3" x14ac:dyDescent="0.2">
      <c r="A21">
        <v>150</v>
      </c>
      <c r="B21">
        <v>296.27488399999999</v>
      </c>
      <c r="C21">
        <v>35.886400000000002</v>
      </c>
    </row>
    <row r="22" spans="1:3" x14ac:dyDescent="0.2">
      <c r="A22">
        <v>160</v>
      </c>
      <c r="B22">
        <v>296.28182900000002</v>
      </c>
      <c r="C22">
        <v>35.848500000000001</v>
      </c>
    </row>
    <row r="23" spans="1:3" x14ac:dyDescent="0.2">
      <c r="A23">
        <v>170</v>
      </c>
      <c r="B23">
        <v>296.28877299999999</v>
      </c>
      <c r="C23">
        <v>35.834099999999999</v>
      </c>
    </row>
    <row r="24" spans="1:3" x14ac:dyDescent="0.2">
      <c r="A24">
        <v>180</v>
      </c>
      <c r="B24">
        <v>296.29571800000002</v>
      </c>
      <c r="C24">
        <v>35.834099999999999</v>
      </c>
    </row>
    <row r="25" spans="1:3" x14ac:dyDescent="0.2">
      <c r="A25">
        <v>190</v>
      </c>
      <c r="B25">
        <v>296.302662</v>
      </c>
      <c r="C25">
        <v>35.846899999999998</v>
      </c>
    </row>
    <row r="26" spans="1:3" x14ac:dyDescent="0.2">
      <c r="A26">
        <v>200</v>
      </c>
      <c r="B26">
        <v>296.30960599999997</v>
      </c>
      <c r="C26">
        <v>35.866399999999999</v>
      </c>
    </row>
    <row r="27" spans="1:3" x14ac:dyDescent="0.2">
      <c r="A27">
        <v>210</v>
      </c>
      <c r="B27">
        <v>296.316551</v>
      </c>
      <c r="C27">
        <v>35.877000000000002</v>
      </c>
    </row>
    <row r="28" spans="1:3" x14ac:dyDescent="0.2">
      <c r="A28">
        <v>220</v>
      </c>
      <c r="B28">
        <v>296.32349499999998</v>
      </c>
      <c r="C28">
        <v>35.902900000000002</v>
      </c>
    </row>
    <row r="29" spans="1:3" x14ac:dyDescent="0.2">
      <c r="A29">
        <v>230</v>
      </c>
      <c r="B29">
        <v>296.33044000000001</v>
      </c>
      <c r="C29">
        <v>35.950299999999999</v>
      </c>
    </row>
    <row r="30" spans="1:3" x14ac:dyDescent="0.2">
      <c r="A30">
        <v>240</v>
      </c>
      <c r="B30">
        <v>296.33738399999999</v>
      </c>
      <c r="C30">
        <v>35.995699999999999</v>
      </c>
    </row>
    <row r="31" spans="1:3" x14ac:dyDescent="0.2">
      <c r="A31">
        <v>250</v>
      </c>
      <c r="B31">
        <v>296.34431699999999</v>
      </c>
      <c r="C31">
        <v>36.031500000000001</v>
      </c>
    </row>
    <row r="32" spans="1:3" x14ac:dyDescent="0.2">
      <c r="A32">
        <v>260</v>
      </c>
      <c r="B32">
        <v>296.35126200000002</v>
      </c>
      <c r="C32">
        <v>36.0349</v>
      </c>
    </row>
    <row r="33" spans="1:3" x14ac:dyDescent="0.2">
      <c r="A33">
        <v>270</v>
      </c>
      <c r="B33">
        <v>296.358206</v>
      </c>
      <c r="C33">
        <v>36.0593</v>
      </c>
    </row>
    <row r="34" spans="1:3" x14ac:dyDescent="0.2">
      <c r="A34">
        <v>280</v>
      </c>
      <c r="B34">
        <v>296.36515000000003</v>
      </c>
      <c r="C34">
        <v>36.0916</v>
      </c>
    </row>
    <row r="35" spans="1:3" x14ac:dyDescent="0.2">
      <c r="A35">
        <v>290</v>
      </c>
      <c r="B35">
        <v>296.372095</v>
      </c>
      <c r="C35">
        <v>36.112699999999997</v>
      </c>
    </row>
    <row r="36" spans="1:3" x14ac:dyDescent="0.2">
      <c r="A36">
        <v>300</v>
      </c>
      <c r="B36">
        <v>296.37903899999998</v>
      </c>
      <c r="C36">
        <v>36.121099999999998</v>
      </c>
    </row>
    <row r="37" spans="1:3" x14ac:dyDescent="0.2">
      <c r="A37">
        <v>310</v>
      </c>
      <c r="B37">
        <v>296.38598400000001</v>
      </c>
      <c r="C37">
        <v>36.1267</v>
      </c>
    </row>
    <row r="38" spans="1:3" x14ac:dyDescent="0.2">
      <c r="A38">
        <v>320</v>
      </c>
      <c r="B38">
        <v>296.39292799999998</v>
      </c>
      <c r="C38">
        <v>36.127400000000002</v>
      </c>
    </row>
    <row r="39" spans="1:3" x14ac:dyDescent="0.2">
      <c r="A39">
        <v>330</v>
      </c>
      <c r="B39">
        <v>296.39987300000001</v>
      </c>
      <c r="C39">
        <v>36.128999999999998</v>
      </c>
    </row>
    <row r="40" spans="1:3" x14ac:dyDescent="0.2">
      <c r="A40">
        <v>340</v>
      </c>
      <c r="B40">
        <v>296.40681699999999</v>
      </c>
      <c r="C40">
        <v>36.128900000000002</v>
      </c>
    </row>
    <row r="41" spans="1:3" x14ac:dyDescent="0.2">
      <c r="A41">
        <v>350</v>
      </c>
      <c r="B41">
        <v>296.41376200000002</v>
      </c>
      <c r="C41">
        <v>36.130299999999998</v>
      </c>
    </row>
    <row r="42" spans="1:3" x14ac:dyDescent="0.2">
      <c r="A42">
        <v>360</v>
      </c>
      <c r="B42">
        <v>296.420706</v>
      </c>
      <c r="C42">
        <v>36.132399999999997</v>
      </c>
    </row>
    <row r="43" spans="1:3" x14ac:dyDescent="0.2">
      <c r="A43">
        <v>370</v>
      </c>
      <c r="B43">
        <v>296.42765000000003</v>
      </c>
      <c r="C43">
        <v>36.134700000000002</v>
      </c>
    </row>
    <row r="44" spans="1:3" x14ac:dyDescent="0.2">
      <c r="A44">
        <v>380</v>
      </c>
      <c r="B44">
        <v>296.434595</v>
      </c>
      <c r="C44">
        <v>36.135199999999998</v>
      </c>
    </row>
    <row r="45" spans="1:3" x14ac:dyDescent="0.2">
      <c r="A45">
        <v>390</v>
      </c>
      <c r="B45">
        <v>296.44153899999998</v>
      </c>
      <c r="C45">
        <v>36.1357</v>
      </c>
    </row>
    <row r="46" spans="1:3" x14ac:dyDescent="0.2">
      <c r="A46">
        <v>400</v>
      </c>
      <c r="B46">
        <v>296.44848400000001</v>
      </c>
      <c r="C46">
        <v>36.136400000000002</v>
      </c>
    </row>
    <row r="47" spans="1:3" x14ac:dyDescent="0.2">
      <c r="A47">
        <v>410</v>
      </c>
      <c r="B47">
        <v>296.45542799999998</v>
      </c>
      <c r="C47">
        <v>36.135599999999997</v>
      </c>
    </row>
    <row r="48" spans="1:3" x14ac:dyDescent="0.2">
      <c r="A48">
        <v>420</v>
      </c>
      <c r="B48">
        <v>296.46237300000001</v>
      </c>
      <c r="C48">
        <v>36.135800000000003</v>
      </c>
    </row>
    <row r="49" spans="1:3" x14ac:dyDescent="0.2">
      <c r="A49">
        <v>430</v>
      </c>
      <c r="B49">
        <v>296.46931699999999</v>
      </c>
      <c r="C49">
        <v>36.136800000000001</v>
      </c>
    </row>
    <row r="50" spans="1:3" x14ac:dyDescent="0.2">
      <c r="A50">
        <v>440</v>
      </c>
      <c r="B50">
        <v>296.47626200000002</v>
      </c>
      <c r="C50">
        <v>36.138300000000001</v>
      </c>
    </row>
    <row r="51" spans="1:3" x14ac:dyDescent="0.2">
      <c r="A51">
        <v>450</v>
      </c>
      <c r="B51">
        <v>296.483206</v>
      </c>
      <c r="C51">
        <v>36.141800000000003</v>
      </c>
    </row>
    <row r="52" spans="1:3" x14ac:dyDescent="0.2">
      <c r="A52">
        <v>460</v>
      </c>
      <c r="B52">
        <v>296.49015000000003</v>
      </c>
      <c r="C52">
        <v>36.145899999999997</v>
      </c>
    </row>
    <row r="53" spans="1:3" x14ac:dyDescent="0.2">
      <c r="A53">
        <v>470</v>
      </c>
      <c r="B53">
        <v>296.497095</v>
      </c>
      <c r="C53">
        <v>36.1511</v>
      </c>
    </row>
    <row r="54" spans="1:3" x14ac:dyDescent="0.2">
      <c r="A54">
        <v>480</v>
      </c>
      <c r="B54">
        <v>296.50403899999998</v>
      </c>
      <c r="C54">
        <v>36.152700000000003</v>
      </c>
    </row>
    <row r="55" spans="1:3" x14ac:dyDescent="0.2">
      <c r="A55">
        <v>490</v>
      </c>
      <c r="B55">
        <v>296.51098400000001</v>
      </c>
      <c r="C55">
        <v>36.155299999999997</v>
      </c>
    </row>
    <row r="56" spans="1:3" x14ac:dyDescent="0.2">
      <c r="A56">
        <v>500</v>
      </c>
      <c r="B56">
        <v>296.51792799999998</v>
      </c>
      <c r="C56">
        <v>36.1556</v>
      </c>
    </row>
    <row r="57" spans="1:3" x14ac:dyDescent="0.2">
      <c r="A57">
        <v>510</v>
      </c>
      <c r="B57">
        <v>296.52487300000001</v>
      </c>
      <c r="C57">
        <v>36.163499999999999</v>
      </c>
    </row>
    <row r="58" spans="1:3" x14ac:dyDescent="0.2">
      <c r="A58">
        <v>520</v>
      </c>
      <c r="B58">
        <v>296.53182900000002</v>
      </c>
      <c r="C58">
        <v>36.165700000000001</v>
      </c>
    </row>
    <row r="59" spans="1:3" x14ac:dyDescent="0.2">
      <c r="A59">
        <v>530</v>
      </c>
      <c r="B59">
        <v>296.53877299999999</v>
      </c>
      <c r="C59">
        <v>36.158799999999999</v>
      </c>
    </row>
    <row r="60" spans="1:3" x14ac:dyDescent="0.2">
      <c r="A60">
        <v>540</v>
      </c>
      <c r="B60">
        <v>296.54571800000002</v>
      </c>
      <c r="C60">
        <v>36.158000000000001</v>
      </c>
    </row>
    <row r="61" spans="1:3" x14ac:dyDescent="0.2">
      <c r="A61">
        <v>550</v>
      </c>
      <c r="B61">
        <v>296.552662</v>
      </c>
      <c r="C61">
        <v>36.158900000000003</v>
      </c>
    </row>
    <row r="62" spans="1:3" x14ac:dyDescent="0.2">
      <c r="A62">
        <v>560</v>
      </c>
      <c r="B62">
        <v>296.55960599999997</v>
      </c>
      <c r="C62">
        <v>36.160800000000002</v>
      </c>
    </row>
    <row r="63" spans="1:3" x14ac:dyDescent="0.2">
      <c r="A63">
        <v>570</v>
      </c>
      <c r="B63">
        <v>296.566551</v>
      </c>
      <c r="C63">
        <v>36.158999999999999</v>
      </c>
    </row>
    <row r="64" spans="1:3" x14ac:dyDescent="0.2">
      <c r="A64">
        <v>580</v>
      </c>
      <c r="B64">
        <v>296.57349499999998</v>
      </c>
      <c r="C64">
        <v>36.155000000000001</v>
      </c>
    </row>
    <row r="65" spans="1:3" x14ac:dyDescent="0.2">
      <c r="A65">
        <v>590</v>
      </c>
      <c r="B65">
        <v>296.58044000000001</v>
      </c>
      <c r="C65">
        <v>36.152500000000003</v>
      </c>
    </row>
    <row r="66" spans="1:3" x14ac:dyDescent="0.2">
      <c r="A66">
        <v>600</v>
      </c>
      <c r="B66">
        <v>296.58738399999999</v>
      </c>
      <c r="C66">
        <v>36.152900000000002</v>
      </c>
    </row>
    <row r="67" spans="1:3" x14ac:dyDescent="0.2">
      <c r="A67">
        <v>610</v>
      </c>
      <c r="B67">
        <v>296.59432900000002</v>
      </c>
      <c r="C67">
        <v>36.152999999999999</v>
      </c>
    </row>
    <row r="68" spans="1:3" x14ac:dyDescent="0.2">
      <c r="A68">
        <v>620</v>
      </c>
      <c r="B68">
        <v>296.60126200000002</v>
      </c>
      <c r="C68">
        <v>36.1541</v>
      </c>
    </row>
    <row r="69" spans="1:3" x14ac:dyDescent="0.2">
      <c r="A69">
        <v>630</v>
      </c>
      <c r="B69">
        <v>296.608206</v>
      </c>
      <c r="C69">
        <v>36.156799999999997</v>
      </c>
    </row>
    <row r="70" spans="1:3" x14ac:dyDescent="0.2">
      <c r="A70">
        <v>640</v>
      </c>
      <c r="B70">
        <v>296.61515000000003</v>
      </c>
      <c r="C70">
        <v>36.158700000000003</v>
      </c>
    </row>
    <row r="71" spans="1:3" x14ac:dyDescent="0.2">
      <c r="A71">
        <v>650</v>
      </c>
      <c r="B71">
        <v>296.622095</v>
      </c>
      <c r="C71">
        <v>36.160899999999998</v>
      </c>
    </row>
    <row r="72" spans="1:3" x14ac:dyDescent="0.2">
      <c r="A72">
        <v>660</v>
      </c>
      <c r="B72">
        <v>296.62903899999998</v>
      </c>
      <c r="C72">
        <v>36.1616</v>
      </c>
    </row>
    <row r="73" spans="1:3" x14ac:dyDescent="0.2">
      <c r="A73">
        <v>670</v>
      </c>
      <c r="B73">
        <v>296.63598400000001</v>
      </c>
      <c r="C73">
        <v>36.143300000000004</v>
      </c>
    </row>
    <row r="74" spans="1:3" x14ac:dyDescent="0.2">
      <c r="A74">
        <v>680</v>
      </c>
      <c r="B74">
        <v>296.64292799999998</v>
      </c>
      <c r="C74">
        <v>36.137</v>
      </c>
    </row>
    <row r="75" spans="1:3" x14ac:dyDescent="0.2">
      <c r="A75">
        <v>690</v>
      </c>
      <c r="B75">
        <v>296.64987300000001</v>
      </c>
      <c r="C75">
        <v>36.148699999999998</v>
      </c>
    </row>
    <row r="76" spans="1:3" x14ac:dyDescent="0.2">
      <c r="A76">
        <v>700</v>
      </c>
      <c r="B76">
        <v>296.65681699999999</v>
      </c>
      <c r="C76">
        <v>36.154600000000002</v>
      </c>
    </row>
    <row r="77" spans="1:3" x14ac:dyDescent="0.2">
      <c r="A77">
        <v>710</v>
      </c>
      <c r="B77">
        <v>296.66376200000002</v>
      </c>
      <c r="C77">
        <v>36.1447</v>
      </c>
    </row>
    <row r="78" spans="1:3" x14ac:dyDescent="0.2">
      <c r="A78">
        <v>720</v>
      </c>
      <c r="B78">
        <v>296.670706</v>
      </c>
      <c r="C78">
        <v>36.1449</v>
      </c>
    </row>
    <row r="79" spans="1:3" x14ac:dyDescent="0.2">
      <c r="A79">
        <v>730</v>
      </c>
      <c r="B79">
        <v>296.67765000000003</v>
      </c>
      <c r="C79">
        <v>36.160299999999999</v>
      </c>
    </row>
    <row r="80" spans="1:3" x14ac:dyDescent="0.2">
      <c r="A80">
        <v>740</v>
      </c>
      <c r="B80">
        <v>296.684595</v>
      </c>
      <c r="C80">
        <v>36.169800000000002</v>
      </c>
    </row>
    <row r="81" spans="1:3" x14ac:dyDescent="0.2">
      <c r="A81">
        <v>750</v>
      </c>
      <c r="B81">
        <v>296.69153899999998</v>
      </c>
      <c r="C81">
        <v>36.178699999999999</v>
      </c>
    </row>
    <row r="82" spans="1:3" x14ac:dyDescent="0.2">
      <c r="A82">
        <v>760</v>
      </c>
      <c r="B82">
        <v>296.69848400000001</v>
      </c>
      <c r="C82">
        <v>36.179900000000004</v>
      </c>
    </row>
    <row r="83" spans="1:3" x14ac:dyDescent="0.2">
      <c r="A83">
        <v>770</v>
      </c>
      <c r="B83">
        <v>296.70542799999998</v>
      </c>
      <c r="C83">
        <v>36.183399999999999</v>
      </c>
    </row>
    <row r="84" spans="1:3" x14ac:dyDescent="0.2">
      <c r="A84">
        <v>780</v>
      </c>
      <c r="B84">
        <v>296.71237300000001</v>
      </c>
      <c r="C84">
        <v>36.174300000000002</v>
      </c>
    </row>
    <row r="85" spans="1:3" x14ac:dyDescent="0.2">
      <c r="A85">
        <v>790</v>
      </c>
      <c r="B85">
        <v>296.71931699999999</v>
      </c>
      <c r="C85">
        <v>36.178800000000003</v>
      </c>
    </row>
    <row r="86" spans="1:3" x14ac:dyDescent="0.2">
      <c r="A86">
        <v>800</v>
      </c>
      <c r="B86">
        <v>296.72626200000002</v>
      </c>
      <c r="C86">
        <v>36.1858</v>
      </c>
    </row>
    <row r="87" spans="1:3" x14ac:dyDescent="0.2">
      <c r="A87">
        <v>810</v>
      </c>
      <c r="B87">
        <v>296.733206</v>
      </c>
      <c r="C87">
        <v>36.1785</v>
      </c>
    </row>
    <row r="88" spans="1:3" x14ac:dyDescent="0.2">
      <c r="A88">
        <v>820</v>
      </c>
      <c r="B88">
        <v>296.74015000000003</v>
      </c>
      <c r="C88">
        <v>36.184199999999997</v>
      </c>
    </row>
    <row r="89" spans="1:3" x14ac:dyDescent="0.2">
      <c r="A89">
        <v>830</v>
      </c>
      <c r="B89">
        <v>296.747095</v>
      </c>
      <c r="C89">
        <v>36.1755</v>
      </c>
    </row>
    <row r="90" spans="1:3" x14ac:dyDescent="0.2">
      <c r="A90">
        <v>840</v>
      </c>
      <c r="B90">
        <v>296.75403899999998</v>
      </c>
      <c r="C90">
        <v>36.184199999999997</v>
      </c>
    </row>
    <row r="91" spans="1:3" x14ac:dyDescent="0.2">
      <c r="A91">
        <v>850</v>
      </c>
      <c r="B91">
        <v>296.76098400000001</v>
      </c>
      <c r="C91">
        <v>36.176299999999998</v>
      </c>
    </row>
    <row r="92" spans="1:3" x14ac:dyDescent="0.2">
      <c r="A92">
        <v>860</v>
      </c>
      <c r="B92">
        <v>296.76792799999998</v>
      </c>
      <c r="C92">
        <v>36.187600000000003</v>
      </c>
    </row>
    <row r="93" spans="1:3" x14ac:dyDescent="0.2">
      <c r="A93">
        <v>870</v>
      </c>
      <c r="B93">
        <v>296.77487300000001</v>
      </c>
      <c r="C93">
        <v>36.183599999999998</v>
      </c>
    </row>
    <row r="94" spans="1:3" x14ac:dyDescent="0.2">
      <c r="A94">
        <v>880</v>
      </c>
      <c r="B94">
        <v>296.78181699999999</v>
      </c>
      <c r="C94">
        <v>36.187600000000003</v>
      </c>
    </row>
    <row r="95" spans="1:3" x14ac:dyDescent="0.2">
      <c r="A95">
        <v>890</v>
      </c>
      <c r="B95">
        <v>296.78877299999999</v>
      </c>
      <c r="C95">
        <v>36.1873</v>
      </c>
    </row>
    <row r="96" spans="1:3" x14ac:dyDescent="0.2">
      <c r="A96">
        <v>900</v>
      </c>
      <c r="B96">
        <v>296.79571800000002</v>
      </c>
      <c r="C96">
        <v>36.1892</v>
      </c>
    </row>
    <row r="97" spans="1:3" x14ac:dyDescent="0.2">
      <c r="A97">
        <v>910</v>
      </c>
      <c r="B97">
        <v>296.802662</v>
      </c>
      <c r="C97">
        <v>36.189900000000002</v>
      </c>
    </row>
    <row r="98" spans="1:3" x14ac:dyDescent="0.2">
      <c r="A98">
        <v>920</v>
      </c>
      <c r="B98">
        <v>296.80960599999997</v>
      </c>
      <c r="C98">
        <v>36.1905</v>
      </c>
    </row>
    <row r="99" spans="1:3" x14ac:dyDescent="0.2">
      <c r="A99">
        <v>930</v>
      </c>
      <c r="B99">
        <v>296.816551</v>
      </c>
      <c r="C99">
        <v>36.193199999999997</v>
      </c>
    </row>
    <row r="100" spans="1:3" x14ac:dyDescent="0.2">
      <c r="A100">
        <v>940</v>
      </c>
      <c r="B100">
        <v>296.82349499999998</v>
      </c>
      <c r="C100">
        <v>36.192</v>
      </c>
    </row>
    <row r="101" spans="1:3" x14ac:dyDescent="0.2">
      <c r="A101">
        <v>950</v>
      </c>
      <c r="B101">
        <v>296.83044000000001</v>
      </c>
      <c r="C101">
        <v>36.192799999999998</v>
      </c>
    </row>
    <row r="102" spans="1:3" x14ac:dyDescent="0.2">
      <c r="A102">
        <v>960</v>
      </c>
      <c r="B102">
        <v>296.83738399999999</v>
      </c>
      <c r="C102">
        <v>36.193800000000003</v>
      </c>
    </row>
    <row r="103" spans="1:3" x14ac:dyDescent="0.2">
      <c r="A103">
        <v>970</v>
      </c>
      <c r="B103">
        <v>296.84432900000002</v>
      </c>
      <c r="C103">
        <v>36.194000000000003</v>
      </c>
    </row>
    <row r="104" spans="1:3" x14ac:dyDescent="0.2">
      <c r="A104">
        <v>980</v>
      </c>
      <c r="B104">
        <v>296.85127299999999</v>
      </c>
      <c r="C104">
        <v>36.194000000000003</v>
      </c>
    </row>
    <row r="105" spans="1:3" x14ac:dyDescent="0.2">
      <c r="A105">
        <v>990</v>
      </c>
      <c r="B105">
        <v>296.858206</v>
      </c>
      <c r="C105">
        <v>36.194800000000001</v>
      </c>
    </row>
    <row r="106" spans="1:3" x14ac:dyDescent="0.2">
      <c r="A106">
        <v>1000</v>
      </c>
      <c r="B106">
        <v>296.86515000000003</v>
      </c>
      <c r="C106">
        <v>36.1967</v>
      </c>
    </row>
    <row r="107" spans="1:3" x14ac:dyDescent="0.2">
      <c r="A107">
        <v>1010</v>
      </c>
      <c r="B107">
        <v>296.872095</v>
      </c>
      <c r="C107">
        <v>36.1922</v>
      </c>
    </row>
    <row r="108" spans="1:3" x14ac:dyDescent="0.2">
      <c r="A108">
        <v>1020</v>
      </c>
      <c r="B108">
        <v>296.87903899999998</v>
      </c>
      <c r="C108">
        <v>36.188299999999998</v>
      </c>
    </row>
    <row r="109" spans="1:3" x14ac:dyDescent="0.2">
      <c r="A109">
        <v>1030</v>
      </c>
      <c r="B109">
        <v>296.88598400000001</v>
      </c>
      <c r="C109">
        <v>36.193899999999999</v>
      </c>
    </row>
    <row r="110" spans="1:3" x14ac:dyDescent="0.2">
      <c r="A110">
        <v>1040</v>
      </c>
      <c r="B110">
        <v>296.89292799999998</v>
      </c>
      <c r="C110">
        <v>36.192799999999998</v>
      </c>
    </row>
    <row r="111" spans="1:3" x14ac:dyDescent="0.2">
      <c r="A111">
        <v>1050</v>
      </c>
      <c r="B111">
        <v>296.89987300000001</v>
      </c>
      <c r="C111">
        <v>36.191099999999999</v>
      </c>
    </row>
    <row r="112" spans="1:3" x14ac:dyDescent="0.2">
      <c r="A112">
        <v>1060</v>
      </c>
      <c r="B112">
        <v>296.90681699999999</v>
      </c>
      <c r="C112">
        <v>36.192</v>
      </c>
    </row>
    <row r="113" spans="1:3" x14ac:dyDescent="0.2">
      <c r="A113">
        <v>1070</v>
      </c>
      <c r="B113">
        <v>296.91376200000002</v>
      </c>
      <c r="C113">
        <v>36.190899999999999</v>
      </c>
    </row>
    <row r="114" spans="1:3" x14ac:dyDescent="0.2">
      <c r="A114">
        <v>1080</v>
      </c>
      <c r="B114">
        <v>296.920706</v>
      </c>
      <c r="C114">
        <v>36.191000000000003</v>
      </c>
    </row>
    <row r="115" spans="1:3" x14ac:dyDescent="0.2">
      <c r="A115">
        <v>1090</v>
      </c>
      <c r="B115">
        <v>296.92765000000003</v>
      </c>
      <c r="C115">
        <v>36.192599999999999</v>
      </c>
    </row>
    <row r="116" spans="1:3" x14ac:dyDescent="0.2">
      <c r="A116">
        <v>1100</v>
      </c>
      <c r="B116">
        <v>296.934595</v>
      </c>
      <c r="C116">
        <v>36.192599999999999</v>
      </c>
    </row>
    <row r="117" spans="1:3" x14ac:dyDescent="0.2">
      <c r="A117">
        <v>1110</v>
      </c>
      <c r="B117">
        <v>296.94153899999998</v>
      </c>
      <c r="C117">
        <v>36.190300000000001</v>
      </c>
    </row>
    <row r="118" spans="1:3" x14ac:dyDescent="0.2">
      <c r="A118">
        <v>1120</v>
      </c>
      <c r="B118">
        <v>296.94848400000001</v>
      </c>
      <c r="C118">
        <v>36.189900000000002</v>
      </c>
    </row>
    <row r="119" spans="1:3" x14ac:dyDescent="0.2">
      <c r="A119">
        <v>1130</v>
      </c>
      <c r="B119">
        <v>296.95542799999998</v>
      </c>
      <c r="C119">
        <v>36.190800000000003</v>
      </c>
    </row>
    <row r="120" spans="1:3" x14ac:dyDescent="0.2">
      <c r="A120">
        <v>1140</v>
      </c>
      <c r="B120">
        <v>296.96237300000001</v>
      </c>
      <c r="C120">
        <v>36.189900000000002</v>
      </c>
    </row>
    <row r="121" spans="1:3" x14ac:dyDescent="0.2">
      <c r="A121">
        <v>1150</v>
      </c>
      <c r="B121">
        <v>296.96931699999999</v>
      </c>
      <c r="C121">
        <v>36.191099999999999</v>
      </c>
    </row>
    <row r="122" spans="1:3" x14ac:dyDescent="0.2">
      <c r="A122">
        <v>1160</v>
      </c>
      <c r="B122">
        <v>296.97626200000002</v>
      </c>
      <c r="C122">
        <v>36.188699999999997</v>
      </c>
    </row>
    <row r="123" spans="1:3" x14ac:dyDescent="0.2">
      <c r="A123">
        <v>1170</v>
      </c>
      <c r="B123">
        <v>296.983206</v>
      </c>
      <c r="C123">
        <v>36.188800000000001</v>
      </c>
    </row>
    <row r="124" spans="1:3" x14ac:dyDescent="0.2">
      <c r="A124">
        <v>1180</v>
      </c>
      <c r="B124">
        <v>296.99015000000003</v>
      </c>
      <c r="C124">
        <v>36.186999999999998</v>
      </c>
    </row>
    <row r="125" spans="1:3" x14ac:dyDescent="0.2">
      <c r="A125">
        <v>1190</v>
      </c>
      <c r="B125">
        <v>296.997095</v>
      </c>
      <c r="C125">
        <v>36.1843</v>
      </c>
    </row>
    <row r="126" spans="1:3" x14ac:dyDescent="0.2">
      <c r="A126">
        <v>1200</v>
      </c>
      <c r="B126">
        <v>297.00403899999998</v>
      </c>
      <c r="C126">
        <v>36.185200000000002</v>
      </c>
    </row>
    <row r="127" spans="1:3" x14ac:dyDescent="0.2">
      <c r="A127">
        <v>1210</v>
      </c>
      <c r="B127">
        <v>297.01098400000001</v>
      </c>
      <c r="C127">
        <v>36.186900000000001</v>
      </c>
    </row>
    <row r="128" spans="1:3" x14ac:dyDescent="0.2">
      <c r="A128">
        <v>1220</v>
      </c>
      <c r="B128">
        <v>297.01792799999998</v>
      </c>
      <c r="C128">
        <v>36.189100000000003</v>
      </c>
    </row>
    <row r="129" spans="1:3" x14ac:dyDescent="0.2">
      <c r="A129">
        <v>1230</v>
      </c>
      <c r="B129">
        <v>297.02487300000001</v>
      </c>
      <c r="C129">
        <v>36.190300000000001</v>
      </c>
    </row>
    <row r="130" spans="1:3" x14ac:dyDescent="0.2">
      <c r="A130">
        <v>1240</v>
      </c>
      <c r="B130">
        <v>297.03181699999999</v>
      </c>
      <c r="C130">
        <v>36.188899999999997</v>
      </c>
    </row>
    <row r="131" spans="1:3" x14ac:dyDescent="0.2">
      <c r="A131">
        <v>1250</v>
      </c>
      <c r="B131">
        <v>297.03876200000002</v>
      </c>
      <c r="C131">
        <v>36.188099999999999</v>
      </c>
    </row>
    <row r="132" spans="1:3" x14ac:dyDescent="0.2">
      <c r="A132">
        <v>1260</v>
      </c>
      <c r="B132">
        <v>297.04571800000002</v>
      </c>
      <c r="C132">
        <v>36.190600000000003</v>
      </c>
    </row>
    <row r="133" spans="1:3" x14ac:dyDescent="0.2">
      <c r="A133">
        <v>1270</v>
      </c>
      <c r="B133">
        <v>297.052662</v>
      </c>
      <c r="C133">
        <v>36.191600000000001</v>
      </c>
    </row>
    <row r="134" spans="1:3" x14ac:dyDescent="0.2">
      <c r="A134">
        <v>1280</v>
      </c>
      <c r="B134">
        <v>297.05960599999997</v>
      </c>
      <c r="C134">
        <v>36.193600000000004</v>
      </c>
    </row>
    <row r="135" spans="1:3" x14ac:dyDescent="0.2">
      <c r="A135">
        <v>1290</v>
      </c>
      <c r="B135">
        <v>297.066551</v>
      </c>
      <c r="C135">
        <v>36.194000000000003</v>
      </c>
    </row>
    <row r="136" spans="1:3" x14ac:dyDescent="0.2">
      <c r="A136">
        <v>1300</v>
      </c>
      <c r="B136">
        <v>297.07349499999998</v>
      </c>
      <c r="C136">
        <v>36.195700000000002</v>
      </c>
    </row>
    <row r="137" spans="1:3" x14ac:dyDescent="0.2">
      <c r="A137">
        <v>1310</v>
      </c>
      <c r="B137">
        <v>297.08044000000001</v>
      </c>
      <c r="C137">
        <v>36.194800000000001</v>
      </c>
    </row>
    <row r="138" spans="1:3" x14ac:dyDescent="0.2">
      <c r="A138">
        <v>1320</v>
      </c>
      <c r="B138">
        <v>297.08738399999999</v>
      </c>
      <c r="C138">
        <v>36.194699999999997</v>
      </c>
    </row>
    <row r="139" spans="1:3" x14ac:dyDescent="0.2">
      <c r="A139">
        <v>1330</v>
      </c>
      <c r="B139">
        <v>297.09432900000002</v>
      </c>
      <c r="C139">
        <v>36.195300000000003</v>
      </c>
    </row>
    <row r="140" spans="1:3" x14ac:dyDescent="0.2">
      <c r="A140">
        <v>1340</v>
      </c>
      <c r="B140">
        <v>297.10127299999999</v>
      </c>
      <c r="C140">
        <v>36.197000000000003</v>
      </c>
    </row>
    <row r="144" spans="1:3" x14ac:dyDescent="0.2">
      <c r="A144" s="32" t="s">
        <v>145</v>
      </c>
    </row>
    <row r="145" spans="1:6" x14ac:dyDescent="0.2">
      <c r="A145" t="s">
        <v>138</v>
      </c>
      <c r="B145" t="s">
        <v>139</v>
      </c>
      <c r="C145" t="s">
        <v>140</v>
      </c>
      <c r="E145" t="s">
        <v>143</v>
      </c>
      <c r="F145">
        <f>MIN(C146:C203)</f>
        <v>36.1873</v>
      </c>
    </row>
    <row r="146" spans="1:6" x14ac:dyDescent="0.2">
      <c r="A146">
        <v>0</v>
      </c>
      <c r="B146">
        <v>27.573484000000001</v>
      </c>
      <c r="C146">
        <v>36.1873</v>
      </c>
      <c r="E146" t="s">
        <v>144</v>
      </c>
      <c r="F146">
        <f>MAX(C146:C203)</f>
        <v>36.299900000000001</v>
      </c>
    </row>
    <row r="147" spans="1:6" x14ac:dyDescent="0.2">
      <c r="A147">
        <v>15</v>
      </c>
      <c r="B147">
        <v>27.5839</v>
      </c>
      <c r="C147">
        <v>36.187399999999997</v>
      </c>
    </row>
    <row r="148" spans="1:6" x14ac:dyDescent="0.2">
      <c r="A148">
        <v>30</v>
      </c>
      <c r="B148">
        <v>27.594317</v>
      </c>
      <c r="C148">
        <v>36.188000000000002</v>
      </c>
      <c r="E148" t="s">
        <v>141</v>
      </c>
    </row>
    <row r="149" spans="1:6" x14ac:dyDescent="0.2">
      <c r="A149">
        <v>45</v>
      </c>
      <c r="B149">
        <v>27.604734000000001</v>
      </c>
      <c r="C149">
        <v>36.191200000000002</v>
      </c>
      <c r="E149">
        <v>5.1449999999999996</v>
      </c>
    </row>
    <row r="150" spans="1:6" x14ac:dyDescent="0.2">
      <c r="A150">
        <v>60</v>
      </c>
      <c r="B150">
        <v>27.61515</v>
      </c>
      <c r="C150">
        <v>36.192900000000002</v>
      </c>
    </row>
    <row r="151" spans="1:6" x14ac:dyDescent="0.2">
      <c r="A151">
        <v>75</v>
      </c>
      <c r="B151">
        <v>27.625567</v>
      </c>
      <c r="C151">
        <v>36.191899999999997</v>
      </c>
      <c r="E151" t="s">
        <v>142</v>
      </c>
    </row>
    <row r="152" spans="1:6" x14ac:dyDescent="0.2">
      <c r="A152">
        <v>90</v>
      </c>
      <c r="B152">
        <v>27.635984000000001</v>
      </c>
      <c r="C152">
        <v>36.193800000000003</v>
      </c>
      <c r="E152">
        <f>(-F145/F146)*(E149*10^-3)/((F145/F146)-1)</f>
        <v>1.6534960790408451</v>
      </c>
    </row>
    <row r="153" spans="1:6" x14ac:dyDescent="0.2">
      <c r="A153">
        <v>105</v>
      </c>
      <c r="B153">
        <v>27.6464</v>
      </c>
      <c r="C153">
        <v>36.195500000000003</v>
      </c>
    </row>
    <row r="154" spans="1:6" x14ac:dyDescent="0.2">
      <c r="A154">
        <v>120</v>
      </c>
      <c r="B154">
        <v>27.656817</v>
      </c>
      <c r="C154">
        <v>36.195099999999996</v>
      </c>
    </row>
    <row r="155" spans="1:6" x14ac:dyDescent="0.2">
      <c r="A155">
        <v>135</v>
      </c>
      <c r="B155">
        <v>27.667234000000001</v>
      </c>
      <c r="C155">
        <v>36.198300000000003</v>
      </c>
    </row>
    <row r="156" spans="1:6" x14ac:dyDescent="0.2">
      <c r="A156">
        <v>150</v>
      </c>
      <c r="B156">
        <v>27.67765</v>
      </c>
      <c r="C156">
        <v>36.1995</v>
      </c>
    </row>
    <row r="157" spans="1:6" x14ac:dyDescent="0.2">
      <c r="A157">
        <v>165</v>
      </c>
      <c r="B157">
        <v>27.688078999999998</v>
      </c>
      <c r="C157">
        <v>36.199199999999998</v>
      </c>
    </row>
    <row r="158" spans="1:6" x14ac:dyDescent="0.2">
      <c r="A158">
        <v>180</v>
      </c>
      <c r="B158">
        <v>27.698495000000001</v>
      </c>
      <c r="C158">
        <v>36.201799999999999</v>
      </c>
    </row>
    <row r="159" spans="1:6" x14ac:dyDescent="0.2">
      <c r="A159">
        <v>195</v>
      </c>
      <c r="B159">
        <v>27.708912000000002</v>
      </c>
      <c r="C159">
        <v>36.2029</v>
      </c>
    </row>
    <row r="160" spans="1:6" x14ac:dyDescent="0.2">
      <c r="A160">
        <v>210</v>
      </c>
      <c r="B160">
        <v>27.719328999999998</v>
      </c>
      <c r="C160">
        <v>36.202800000000003</v>
      </c>
    </row>
    <row r="161" spans="1:3" x14ac:dyDescent="0.2">
      <c r="A161">
        <v>225</v>
      </c>
      <c r="B161">
        <v>27.729745000000001</v>
      </c>
      <c r="C161">
        <v>36.206000000000003</v>
      </c>
    </row>
    <row r="162" spans="1:3" x14ac:dyDescent="0.2">
      <c r="A162">
        <v>240</v>
      </c>
      <c r="B162">
        <v>27.740162000000002</v>
      </c>
      <c r="C162">
        <v>36.204599999999999</v>
      </c>
    </row>
    <row r="163" spans="1:3" x14ac:dyDescent="0.2">
      <c r="A163">
        <v>255</v>
      </c>
      <c r="B163">
        <v>27.750578999999998</v>
      </c>
      <c r="C163">
        <v>36.205800000000004</v>
      </c>
    </row>
    <row r="164" spans="1:3" x14ac:dyDescent="0.2">
      <c r="A164">
        <v>270</v>
      </c>
      <c r="B164">
        <v>27.760984000000001</v>
      </c>
      <c r="C164">
        <v>36.209299999999999</v>
      </c>
    </row>
    <row r="165" spans="1:3" x14ac:dyDescent="0.2">
      <c r="A165">
        <v>285</v>
      </c>
      <c r="B165">
        <v>27.7714</v>
      </c>
      <c r="C165">
        <v>36.211300000000001</v>
      </c>
    </row>
    <row r="166" spans="1:3" x14ac:dyDescent="0.2">
      <c r="A166">
        <v>300</v>
      </c>
      <c r="B166">
        <v>27.781817</v>
      </c>
      <c r="C166">
        <v>36.210700000000003</v>
      </c>
    </row>
    <row r="167" spans="1:3" x14ac:dyDescent="0.2">
      <c r="A167">
        <v>315</v>
      </c>
      <c r="B167">
        <v>27.792234000000001</v>
      </c>
      <c r="C167">
        <v>36.207700000000003</v>
      </c>
    </row>
    <row r="168" spans="1:3" x14ac:dyDescent="0.2">
      <c r="A168">
        <v>330</v>
      </c>
      <c r="B168">
        <v>27.80265</v>
      </c>
      <c r="C168">
        <v>36.209499999999998</v>
      </c>
    </row>
    <row r="169" spans="1:3" x14ac:dyDescent="0.2">
      <c r="A169">
        <v>345</v>
      </c>
      <c r="B169">
        <v>27.813067</v>
      </c>
      <c r="C169">
        <v>36.207799999999999</v>
      </c>
    </row>
    <row r="170" spans="1:3" x14ac:dyDescent="0.2">
      <c r="A170">
        <v>360</v>
      </c>
      <c r="B170">
        <v>27.823484000000001</v>
      </c>
      <c r="C170">
        <v>36.215299999999999</v>
      </c>
    </row>
    <row r="171" spans="1:3" x14ac:dyDescent="0.2">
      <c r="A171">
        <v>375</v>
      </c>
      <c r="B171">
        <v>27.8339</v>
      </c>
      <c r="C171">
        <v>36.216200000000001</v>
      </c>
    </row>
    <row r="172" spans="1:3" x14ac:dyDescent="0.2">
      <c r="A172">
        <v>390</v>
      </c>
      <c r="B172">
        <v>27.844317</v>
      </c>
      <c r="C172">
        <v>36.217599999999997</v>
      </c>
    </row>
    <row r="173" spans="1:3" x14ac:dyDescent="0.2">
      <c r="A173">
        <v>405</v>
      </c>
      <c r="B173">
        <v>27.854734000000001</v>
      </c>
      <c r="C173">
        <v>36.221499999999999</v>
      </c>
    </row>
    <row r="174" spans="1:3" x14ac:dyDescent="0.2">
      <c r="A174">
        <v>420</v>
      </c>
      <c r="B174">
        <v>27.86515</v>
      </c>
      <c r="C174">
        <v>36.222299999999997</v>
      </c>
    </row>
    <row r="175" spans="1:3" x14ac:dyDescent="0.2">
      <c r="A175">
        <v>435</v>
      </c>
      <c r="B175">
        <v>27.875567</v>
      </c>
      <c r="C175">
        <v>36.227699999999999</v>
      </c>
    </row>
    <row r="176" spans="1:3" x14ac:dyDescent="0.2">
      <c r="A176">
        <v>450</v>
      </c>
      <c r="B176">
        <v>27.885984000000001</v>
      </c>
      <c r="C176">
        <v>36.227499999999999</v>
      </c>
    </row>
    <row r="177" spans="1:3" x14ac:dyDescent="0.2">
      <c r="A177">
        <v>465</v>
      </c>
      <c r="B177">
        <v>27.8964</v>
      </c>
      <c r="C177">
        <v>36.231200000000001</v>
      </c>
    </row>
    <row r="178" spans="1:3" x14ac:dyDescent="0.2">
      <c r="A178">
        <v>480</v>
      </c>
      <c r="B178">
        <v>27.906817</v>
      </c>
      <c r="C178">
        <v>36.231499999999997</v>
      </c>
    </row>
    <row r="179" spans="1:3" x14ac:dyDescent="0.2">
      <c r="A179">
        <v>495</v>
      </c>
      <c r="B179">
        <v>27.917234000000001</v>
      </c>
      <c r="C179">
        <v>36.236699999999999</v>
      </c>
    </row>
    <row r="180" spans="1:3" x14ac:dyDescent="0.2">
      <c r="A180">
        <v>510</v>
      </c>
      <c r="B180">
        <v>27.92765</v>
      </c>
      <c r="C180">
        <v>36.233899999999998</v>
      </c>
    </row>
    <row r="181" spans="1:3" x14ac:dyDescent="0.2">
      <c r="A181">
        <v>525</v>
      </c>
      <c r="B181">
        <v>27.938067</v>
      </c>
      <c r="C181">
        <v>36.238599999999998</v>
      </c>
    </row>
    <row r="182" spans="1:3" x14ac:dyDescent="0.2">
      <c r="A182">
        <v>540</v>
      </c>
      <c r="B182">
        <v>27.948495000000001</v>
      </c>
      <c r="C182">
        <v>36.236899999999999</v>
      </c>
    </row>
    <row r="183" spans="1:3" x14ac:dyDescent="0.2">
      <c r="A183">
        <v>555</v>
      </c>
      <c r="B183">
        <v>27.958912000000002</v>
      </c>
      <c r="C183">
        <v>36.233699999999999</v>
      </c>
    </row>
    <row r="184" spans="1:3" x14ac:dyDescent="0.2">
      <c r="A184">
        <v>570</v>
      </c>
      <c r="B184">
        <v>27.969328999999998</v>
      </c>
      <c r="C184">
        <v>36.239400000000003</v>
      </c>
    </row>
    <row r="185" spans="1:3" x14ac:dyDescent="0.2">
      <c r="A185">
        <v>585</v>
      </c>
      <c r="B185">
        <v>27.979745000000001</v>
      </c>
      <c r="C185">
        <v>36.2393</v>
      </c>
    </row>
    <row r="186" spans="1:3" x14ac:dyDescent="0.2">
      <c r="A186">
        <v>600</v>
      </c>
      <c r="B186">
        <v>27.990162000000002</v>
      </c>
      <c r="C186">
        <v>36.247</v>
      </c>
    </row>
    <row r="187" spans="1:3" x14ac:dyDescent="0.2">
      <c r="A187">
        <v>615</v>
      </c>
      <c r="B187">
        <v>28.000578999999998</v>
      </c>
      <c r="C187">
        <v>36.251399999999997</v>
      </c>
    </row>
    <row r="188" spans="1:3" x14ac:dyDescent="0.2">
      <c r="A188">
        <v>630</v>
      </c>
      <c r="B188">
        <v>28.010995000000001</v>
      </c>
      <c r="C188">
        <v>36.239400000000003</v>
      </c>
    </row>
    <row r="189" spans="1:3" x14ac:dyDescent="0.2">
      <c r="A189">
        <v>645</v>
      </c>
      <c r="B189">
        <v>28.0214</v>
      </c>
      <c r="C189">
        <v>36.252800000000001</v>
      </c>
    </row>
    <row r="190" spans="1:3" x14ac:dyDescent="0.2">
      <c r="A190">
        <v>660</v>
      </c>
      <c r="B190">
        <v>28.031817</v>
      </c>
      <c r="C190">
        <v>36.255699999999997</v>
      </c>
    </row>
    <row r="191" spans="1:3" x14ac:dyDescent="0.2">
      <c r="A191">
        <v>675</v>
      </c>
      <c r="B191">
        <v>28.042234000000001</v>
      </c>
      <c r="C191">
        <v>36.257100000000001</v>
      </c>
    </row>
    <row r="192" spans="1:3" x14ac:dyDescent="0.2">
      <c r="A192">
        <v>690</v>
      </c>
      <c r="B192">
        <v>28.05265</v>
      </c>
      <c r="C192">
        <v>36.261800000000001</v>
      </c>
    </row>
    <row r="193" spans="1:3" x14ac:dyDescent="0.2">
      <c r="A193">
        <v>705</v>
      </c>
      <c r="B193">
        <v>28.063067</v>
      </c>
      <c r="C193">
        <v>36.257100000000001</v>
      </c>
    </row>
    <row r="194" spans="1:3" x14ac:dyDescent="0.2">
      <c r="A194">
        <v>720</v>
      </c>
      <c r="B194">
        <v>28.073484000000001</v>
      </c>
      <c r="C194">
        <v>36.262599999999999</v>
      </c>
    </row>
    <row r="195" spans="1:3" x14ac:dyDescent="0.2">
      <c r="A195">
        <v>735</v>
      </c>
      <c r="B195">
        <v>28.0839</v>
      </c>
      <c r="C195">
        <v>36.267000000000003</v>
      </c>
    </row>
    <row r="196" spans="1:3" x14ac:dyDescent="0.2">
      <c r="A196">
        <v>750</v>
      </c>
      <c r="B196">
        <v>28.094317</v>
      </c>
      <c r="C196">
        <v>36.270699999999998</v>
      </c>
    </row>
    <row r="197" spans="1:3" x14ac:dyDescent="0.2">
      <c r="A197">
        <v>765</v>
      </c>
      <c r="B197">
        <v>28.104734000000001</v>
      </c>
      <c r="C197">
        <v>36.273699999999998</v>
      </c>
    </row>
    <row r="198" spans="1:3" x14ac:dyDescent="0.2">
      <c r="A198">
        <v>780</v>
      </c>
      <c r="B198">
        <v>28.11515</v>
      </c>
      <c r="C198">
        <v>36.272399999999998</v>
      </c>
    </row>
    <row r="199" spans="1:3" x14ac:dyDescent="0.2">
      <c r="A199">
        <v>795</v>
      </c>
      <c r="B199">
        <v>28.125567</v>
      </c>
      <c r="C199">
        <v>36.278799999999997</v>
      </c>
    </row>
    <row r="200" spans="1:3" x14ac:dyDescent="0.2">
      <c r="A200">
        <v>810</v>
      </c>
      <c r="B200">
        <v>28.135984000000001</v>
      </c>
      <c r="C200">
        <v>36.266100000000002</v>
      </c>
    </row>
    <row r="201" spans="1:3" x14ac:dyDescent="0.2">
      <c r="A201">
        <v>825</v>
      </c>
      <c r="B201">
        <v>28.1464</v>
      </c>
      <c r="C201">
        <v>36.286799999999999</v>
      </c>
    </row>
    <row r="202" spans="1:3" x14ac:dyDescent="0.2">
      <c r="A202">
        <v>840</v>
      </c>
      <c r="B202">
        <v>28.156817</v>
      </c>
      <c r="C202">
        <v>36.295699999999997</v>
      </c>
    </row>
    <row r="203" spans="1:3" x14ac:dyDescent="0.2">
      <c r="A203">
        <v>855</v>
      </c>
      <c r="B203">
        <v>28.167234000000001</v>
      </c>
      <c r="C203">
        <v>36.299900000000001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27013-1872-E74D-AFD0-0418D54118E6}">
  <dimension ref="A1:I220"/>
  <sheetViews>
    <sheetView tabSelected="1" topLeftCell="E24" workbookViewId="0">
      <selection activeCell="O64" sqref="O64"/>
    </sheetView>
  </sheetViews>
  <sheetFormatPr baseColWidth="10" defaultRowHeight="16" x14ac:dyDescent="0.2"/>
  <cols>
    <col min="1" max="1" width="24.83203125" bestFit="1" customWidth="1"/>
    <col min="2" max="2" width="47.5" bestFit="1" customWidth="1"/>
    <col min="3" max="3" width="33" bestFit="1" customWidth="1"/>
    <col min="4" max="4" width="23.1640625" bestFit="1" customWidth="1"/>
    <col min="5" max="6" width="26" bestFit="1" customWidth="1"/>
    <col min="7" max="8" width="27.1640625" bestFit="1" customWidth="1"/>
    <col min="9" max="9" width="27.1640625" customWidth="1"/>
    <col min="10" max="10" width="19.83203125" bestFit="1" customWidth="1"/>
  </cols>
  <sheetData>
    <row r="1" spans="1:6" x14ac:dyDescent="0.2">
      <c r="A1" t="s">
        <v>309</v>
      </c>
    </row>
    <row r="2" spans="1:6" x14ac:dyDescent="0.2">
      <c r="A2" t="s">
        <v>301</v>
      </c>
      <c r="B2" t="s">
        <v>303</v>
      </c>
    </row>
    <row r="3" spans="1:6" x14ac:dyDescent="0.2">
      <c r="B3" t="s">
        <v>304</v>
      </c>
      <c r="C3" t="s">
        <v>305</v>
      </c>
      <c r="D3" t="s">
        <v>306</v>
      </c>
      <c r="E3" t="s">
        <v>307</v>
      </c>
      <c r="F3" t="s">
        <v>308</v>
      </c>
    </row>
    <row r="4" spans="1:6" x14ac:dyDescent="0.2">
      <c r="A4" t="s">
        <v>302</v>
      </c>
      <c r="B4" s="17">
        <v>2116.8000000000002</v>
      </c>
      <c r="C4" s="17">
        <v>-136.25</v>
      </c>
      <c r="D4" s="17">
        <v>4.7352999999999996</v>
      </c>
      <c r="E4" s="45">
        <v>-9.2307E-2</v>
      </c>
      <c r="F4" s="46">
        <v>7.5549999999999999E-4</v>
      </c>
    </row>
    <row r="5" spans="1:6" x14ac:dyDescent="0.2">
      <c r="A5" t="s">
        <v>247</v>
      </c>
      <c r="B5" s="17">
        <v>1920.4</v>
      </c>
      <c r="C5" s="17">
        <v>-135.6</v>
      </c>
      <c r="D5" s="17">
        <v>5.2122000000000002</v>
      </c>
      <c r="E5" s="43">
        <v>-0.10939</v>
      </c>
      <c r="F5" s="46">
        <v>9.3769999999999997E-4</v>
      </c>
    </row>
    <row r="7" spans="1:6" x14ac:dyDescent="0.2">
      <c r="A7" t="s">
        <v>367</v>
      </c>
      <c r="B7">
        <f>B5+C5*30+D5*(30)^2+E5*(30)^3+F5*(30)^4</f>
        <v>349.38700000000028</v>
      </c>
    </row>
    <row r="8" spans="1:6" x14ac:dyDescent="0.2">
      <c r="A8" t="s">
        <v>368</v>
      </c>
      <c r="B8">
        <f>B4+C4*30+D4*(30)^2+E4*(30)^3+F4*(30)^4</f>
        <v>410.73599999999954</v>
      </c>
    </row>
    <row r="10" spans="1:6" x14ac:dyDescent="0.2">
      <c r="A10" t="s">
        <v>372</v>
      </c>
      <c r="B10" t="s">
        <v>374</v>
      </c>
    </row>
    <row r="11" spans="1:6" x14ac:dyDescent="0.2">
      <c r="A11" t="s">
        <v>373</v>
      </c>
      <c r="B11" t="s">
        <v>380</v>
      </c>
    </row>
    <row r="12" spans="1:6" x14ac:dyDescent="0.2">
      <c r="A12" t="s">
        <v>377</v>
      </c>
      <c r="B12" t="s">
        <v>379</v>
      </c>
    </row>
    <row r="13" spans="1:6" x14ac:dyDescent="0.2">
      <c r="A13" t="s">
        <v>371</v>
      </c>
      <c r="B13" t="s">
        <v>375</v>
      </c>
    </row>
    <row r="14" spans="1:6" x14ac:dyDescent="0.2">
      <c r="A14" t="s">
        <v>381</v>
      </c>
      <c r="B14" t="s">
        <v>382</v>
      </c>
    </row>
    <row r="16" spans="1:6" x14ac:dyDescent="0.2">
      <c r="A16" t="s">
        <v>386</v>
      </c>
      <c r="B16">
        <v>1.25</v>
      </c>
    </row>
    <row r="17" spans="1:9" x14ac:dyDescent="0.2">
      <c r="A17" t="s">
        <v>383</v>
      </c>
      <c r="B17">
        <f>B16/3600*1000*100</f>
        <v>34.722222222222221</v>
      </c>
    </row>
    <row r="18" spans="1:9" x14ac:dyDescent="0.2">
      <c r="A18" t="s">
        <v>384</v>
      </c>
      <c r="B18">
        <v>1</v>
      </c>
    </row>
    <row r="20" spans="1:9" x14ac:dyDescent="0.2">
      <c r="A20" t="s">
        <v>68</v>
      </c>
      <c r="B20" t="s">
        <v>69</v>
      </c>
      <c r="C20" t="s">
        <v>365</v>
      </c>
      <c r="D20" t="s">
        <v>366</v>
      </c>
      <c r="E20" t="s">
        <v>376</v>
      </c>
      <c r="F20" t="s">
        <v>378</v>
      </c>
      <c r="G20" t="s">
        <v>369</v>
      </c>
      <c r="H20" t="s">
        <v>370</v>
      </c>
      <c r="I20" t="s">
        <v>385</v>
      </c>
    </row>
    <row r="21" spans="1:9" x14ac:dyDescent="0.2">
      <c r="A21">
        <v>0.1</v>
      </c>
      <c r="B21">
        <f t="shared" ref="B21:B52" si="0">A21*100/2.54/12/5280*60*60</f>
        <v>0.22369362920544025</v>
      </c>
      <c r="C21">
        <f t="shared" ref="C21:C52" si="1">(0.45*(A21^1.64))/100</f>
        <v>1.0308904437454987E-4</v>
      </c>
      <c r="D21">
        <f>(0.31*(A21)^2*SQRT(660/600))/100</f>
        <v>3.251307429327471E-5</v>
      </c>
      <c r="E21">
        <f>(2.07+0.215*(A21)^1.7)/100</f>
        <v>2.0742898139771829E-2</v>
      </c>
      <c r="F21">
        <f>(0.266*(A21)^2)/100</f>
        <v>2.6600000000000006E-5</v>
      </c>
      <c r="G21">
        <f>(0.251*(A21)^2*($B$7/660)^(-0.5))/100</f>
        <v>3.4497872948295869E-5</v>
      </c>
      <c r="H21">
        <f>(0.251*(A21)^2*($B$8/660)^(-0.5))/100</f>
        <v>3.1817371921838898E-5</v>
      </c>
      <c r="I21">
        <f>(0.77*($B$17)^0.5*($B$18)+0.266*(A21)^2)/100</f>
        <v>4.53992851261368E-2</v>
      </c>
    </row>
    <row r="22" spans="1:9" x14ac:dyDescent="0.2">
      <c r="A22">
        <v>0.2</v>
      </c>
      <c r="B22">
        <f t="shared" si="0"/>
        <v>0.44738725841088051</v>
      </c>
      <c r="C22">
        <f t="shared" si="1"/>
        <v>3.2129332771079497E-4</v>
      </c>
      <c r="D22">
        <f t="shared" ref="D22:D85" si="2">(0.31*(A22)^2*SQRT(660/600))/100</f>
        <v>1.3005229717309884E-4</v>
      </c>
      <c r="E22">
        <f t="shared" ref="E22:E85" si="3">(2.07+0.215*(A22)^1.7)/100</f>
        <v>2.0839376467315578E-2</v>
      </c>
      <c r="F22">
        <f t="shared" ref="F22:F85" si="4">(0.266*(A22)^2)/100</f>
        <v>1.0640000000000002E-4</v>
      </c>
      <c r="G22">
        <f t="shared" ref="G22:G85" si="5">(0.251*(A22)^2*($B$7/660)^(-0.5))/100</f>
        <v>1.3799149179318348E-4</v>
      </c>
      <c r="H22">
        <f t="shared" ref="H22:H85" si="6">(0.251*(A22)^2*($B$8/660)^(-0.5))/100</f>
        <v>1.2726948768735559E-4</v>
      </c>
      <c r="I22">
        <f t="shared" ref="I22:I85" si="7">(0.77*($B$17)^0.5*($B$18)+0.266*(A22)^2)/100</f>
        <v>4.5479085126136812E-2</v>
      </c>
    </row>
    <row r="23" spans="1:9" x14ac:dyDescent="0.2">
      <c r="A23">
        <v>0.3</v>
      </c>
      <c r="B23">
        <f t="shared" si="0"/>
        <v>0.67108088761632079</v>
      </c>
      <c r="C23">
        <f t="shared" si="1"/>
        <v>6.2472857578362473E-4</v>
      </c>
      <c r="D23">
        <f t="shared" si="2"/>
        <v>2.926176686394723E-4</v>
      </c>
      <c r="E23">
        <f t="shared" si="3"/>
        <v>2.0977679995061206E-2</v>
      </c>
      <c r="F23">
        <f t="shared" si="4"/>
        <v>2.3939999999999999E-4</v>
      </c>
      <c r="G23">
        <f t="shared" si="5"/>
        <v>3.1048085653466277E-4</v>
      </c>
      <c r="H23">
        <f t="shared" si="6"/>
        <v>2.8635634729655001E-4</v>
      </c>
      <c r="I23">
        <f t="shared" si="7"/>
        <v>4.5612085126136799E-2</v>
      </c>
    </row>
    <row r="24" spans="1:9" x14ac:dyDescent="0.2">
      <c r="A24">
        <v>0.4</v>
      </c>
      <c r="B24">
        <f t="shared" si="0"/>
        <v>0.89477451682176101</v>
      </c>
      <c r="C24">
        <f t="shared" si="1"/>
        <v>1.0013615225340187E-3</v>
      </c>
      <c r="D24">
        <f t="shared" si="2"/>
        <v>5.2020918869239536E-4</v>
      </c>
      <c r="E24">
        <f t="shared" si="3"/>
        <v>2.1152835478290975E-2</v>
      </c>
      <c r="F24">
        <f t="shared" si="4"/>
        <v>4.256000000000001E-4</v>
      </c>
      <c r="G24">
        <f t="shared" si="5"/>
        <v>5.519659671727339E-4</v>
      </c>
      <c r="H24">
        <f t="shared" si="6"/>
        <v>5.0907795074942236E-4</v>
      </c>
      <c r="I24">
        <f t="shared" si="7"/>
        <v>4.5798285126136803E-2</v>
      </c>
    </row>
    <row r="25" spans="1:9" x14ac:dyDescent="0.2">
      <c r="A25">
        <v>0.5</v>
      </c>
      <c r="B25">
        <f t="shared" si="0"/>
        <v>1.1184681460272012</v>
      </c>
      <c r="C25">
        <f t="shared" si="1"/>
        <v>1.4438541347582673E-3</v>
      </c>
      <c r="D25">
        <f t="shared" si="2"/>
        <v>8.128268573318675E-4</v>
      </c>
      <c r="E25">
        <f t="shared" si="3"/>
        <v>2.136174012217289E-2</v>
      </c>
      <c r="F25">
        <f t="shared" si="4"/>
        <v>6.6500000000000001E-4</v>
      </c>
      <c r="G25">
        <f t="shared" si="5"/>
        <v>8.6244682370739667E-4</v>
      </c>
      <c r="H25">
        <f t="shared" si="6"/>
        <v>7.9543429804597237E-4</v>
      </c>
      <c r="I25">
        <f t="shared" si="7"/>
        <v>4.6037685126136797E-2</v>
      </c>
    </row>
    <row r="26" spans="1:9" x14ac:dyDescent="0.2">
      <c r="A26">
        <v>0.6</v>
      </c>
      <c r="B26">
        <f t="shared" si="0"/>
        <v>1.3421617752326416</v>
      </c>
      <c r="C26">
        <f t="shared" si="1"/>
        <v>1.9470655126094028E-3</v>
      </c>
      <c r="D26">
        <f t="shared" si="2"/>
        <v>1.1704706745578892E-3</v>
      </c>
      <c r="E26">
        <f t="shared" si="3"/>
        <v>2.1602184965634614E-2</v>
      </c>
      <c r="F26">
        <f t="shared" si="4"/>
        <v>9.5759999999999997E-4</v>
      </c>
      <c r="G26">
        <f t="shared" si="5"/>
        <v>1.2419234261386511E-3</v>
      </c>
      <c r="H26">
        <f t="shared" si="6"/>
        <v>1.1454253891862E-3</v>
      </c>
      <c r="I26">
        <f t="shared" si="7"/>
        <v>4.6330285126136808E-2</v>
      </c>
    </row>
    <row r="27" spans="1:9" x14ac:dyDescent="0.2">
      <c r="A27">
        <v>0.7</v>
      </c>
      <c r="B27">
        <f t="shared" si="0"/>
        <v>1.5658554044380817</v>
      </c>
      <c r="C27">
        <f t="shared" si="1"/>
        <v>2.5071094819287707E-3</v>
      </c>
      <c r="D27">
        <f t="shared" si="2"/>
        <v>1.5931406403704601E-3</v>
      </c>
      <c r="E27">
        <f t="shared" si="3"/>
        <v>2.1872479148569025E-2</v>
      </c>
      <c r="F27">
        <f t="shared" si="4"/>
        <v>1.3033999999999999E-3</v>
      </c>
      <c r="G27">
        <f t="shared" si="5"/>
        <v>1.6903957744664971E-3</v>
      </c>
      <c r="H27">
        <f t="shared" si="6"/>
        <v>1.5590512241701058E-3</v>
      </c>
      <c r="I27">
        <f t="shared" si="7"/>
        <v>4.6676085126136808E-2</v>
      </c>
    </row>
    <row r="28" spans="1:9" x14ac:dyDescent="0.2">
      <c r="A28">
        <v>0.8</v>
      </c>
      <c r="B28">
        <f t="shared" si="0"/>
        <v>1.789549033643522</v>
      </c>
      <c r="C28">
        <f t="shared" si="1"/>
        <v>3.1209017191736678E-3</v>
      </c>
      <c r="D28">
        <f t="shared" si="2"/>
        <v>2.0808367547695814E-3</v>
      </c>
      <c r="E28">
        <f t="shared" si="3"/>
        <v>2.2171266809587874E-2</v>
      </c>
      <c r="F28">
        <f t="shared" si="4"/>
        <v>1.7024000000000004E-3</v>
      </c>
      <c r="G28">
        <f t="shared" si="5"/>
        <v>2.2078638686909356E-3</v>
      </c>
      <c r="H28">
        <f t="shared" si="6"/>
        <v>2.0363118029976895E-3</v>
      </c>
      <c r="I28">
        <f t="shared" si="7"/>
        <v>4.7075085126136805E-2</v>
      </c>
    </row>
    <row r="29" spans="1:9" x14ac:dyDescent="0.2">
      <c r="A29">
        <v>0.9</v>
      </c>
      <c r="B29">
        <f t="shared" si="0"/>
        <v>2.0132426628489624</v>
      </c>
      <c r="C29">
        <f t="shared" si="1"/>
        <v>3.7859095092842702E-3</v>
      </c>
      <c r="D29">
        <f t="shared" si="2"/>
        <v>2.6335590177552506E-3</v>
      </c>
      <c r="E29">
        <f t="shared" si="3"/>
        <v>2.2497424785021192E-2</v>
      </c>
      <c r="F29">
        <f t="shared" si="4"/>
        <v>2.1546E-3</v>
      </c>
      <c r="G29">
        <f t="shared" si="5"/>
        <v>2.7943277088119649E-3</v>
      </c>
      <c r="H29">
        <f t="shared" si="6"/>
        <v>2.5772071256689507E-3</v>
      </c>
      <c r="I29">
        <f t="shared" si="7"/>
        <v>4.7527285126136805E-2</v>
      </c>
    </row>
    <row r="30" spans="1:9" x14ac:dyDescent="0.2">
      <c r="A30">
        <v>1</v>
      </c>
      <c r="B30">
        <f t="shared" si="0"/>
        <v>2.2369362920544025</v>
      </c>
      <c r="C30">
        <f t="shared" si="1"/>
        <v>4.5000000000000005E-3</v>
      </c>
      <c r="D30">
        <f t="shared" si="2"/>
        <v>3.25130742932747E-3</v>
      </c>
      <c r="E30">
        <f t="shared" si="3"/>
        <v>2.2849999999999995E-2</v>
      </c>
      <c r="F30">
        <f t="shared" si="4"/>
        <v>2.66E-3</v>
      </c>
      <c r="G30">
        <f t="shared" si="5"/>
        <v>3.4497872948295867E-3</v>
      </c>
      <c r="H30">
        <f t="shared" si="6"/>
        <v>3.1817371921838895E-3</v>
      </c>
      <c r="I30">
        <f t="shared" si="7"/>
        <v>4.8032685126136808E-2</v>
      </c>
    </row>
    <row r="31" spans="1:9" x14ac:dyDescent="0.2">
      <c r="A31">
        <v>1.1000000000000001</v>
      </c>
      <c r="B31">
        <f t="shared" si="0"/>
        <v>2.4606299212598426</v>
      </c>
      <c r="C31">
        <f t="shared" si="1"/>
        <v>5.2613418125216048E-3</v>
      </c>
      <c r="D31">
        <f t="shared" si="2"/>
        <v>3.9340819894862393E-3</v>
      </c>
      <c r="E31">
        <f t="shared" si="3"/>
        <v>2.3228168551227127E-2</v>
      </c>
      <c r="F31">
        <f t="shared" si="4"/>
        <v>3.2186000000000007E-3</v>
      </c>
      <c r="G31">
        <f t="shared" si="5"/>
        <v>4.1742426267438E-3</v>
      </c>
      <c r="H31">
        <f t="shared" si="6"/>
        <v>3.8499020025425067E-3</v>
      </c>
      <c r="I31">
        <f t="shared" si="7"/>
        <v>4.8591285126136807E-2</v>
      </c>
    </row>
    <row r="32" spans="1:9" x14ac:dyDescent="0.2">
      <c r="A32">
        <v>1.2</v>
      </c>
      <c r="B32">
        <f t="shared" si="0"/>
        <v>2.6843235504652831</v>
      </c>
      <c r="C32">
        <f t="shared" si="1"/>
        <v>6.0683379268150432E-3</v>
      </c>
      <c r="D32">
        <f t="shared" si="2"/>
        <v>4.6818826982315568E-3</v>
      </c>
      <c r="E32">
        <f t="shared" si="3"/>
        <v>2.363120760117313E-2</v>
      </c>
      <c r="F32">
        <f t="shared" si="4"/>
        <v>3.8303999999999999E-3</v>
      </c>
      <c r="G32">
        <f t="shared" si="5"/>
        <v>4.9676937045546044E-3</v>
      </c>
      <c r="H32">
        <f t="shared" si="6"/>
        <v>4.5817015567448001E-3</v>
      </c>
      <c r="I32">
        <f t="shared" si="7"/>
        <v>4.920308512613681E-2</v>
      </c>
    </row>
    <row r="33" spans="1:9" x14ac:dyDescent="0.2">
      <c r="A33">
        <v>1.3</v>
      </c>
      <c r="B33">
        <f t="shared" si="0"/>
        <v>2.9080171796707233</v>
      </c>
      <c r="C33">
        <f t="shared" si="1"/>
        <v>6.9195780373093874E-3</v>
      </c>
      <c r="D33">
        <f t="shared" si="2"/>
        <v>5.4947095555634255E-3</v>
      </c>
      <c r="E33">
        <f t="shared" si="3"/>
        <v>2.4058475301713803E-2</v>
      </c>
      <c r="F33">
        <f t="shared" si="4"/>
        <v>4.4954000000000001E-3</v>
      </c>
      <c r="G33">
        <f t="shared" si="5"/>
        <v>5.830140528262002E-3</v>
      </c>
      <c r="H33">
        <f t="shared" si="6"/>
        <v>5.3771358547907745E-3</v>
      </c>
      <c r="I33">
        <f t="shared" si="7"/>
        <v>4.9868085126136802E-2</v>
      </c>
    </row>
    <row r="34" spans="1:9" x14ac:dyDescent="0.2">
      <c r="A34">
        <v>1.4</v>
      </c>
      <c r="B34">
        <f t="shared" si="0"/>
        <v>3.1317108088761634</v>
      </c>
      <c r="C34">
        <f t="shared" si="1"/>
        <v>7.8138036225995373E-3</v>
      </c>
      <c r="D34">
        <f t="shared" si="2"/>
        <v>6.3725625614818402E-3</v>
      </c>
      <c r="E34">
        <f t="shared" si="3"/>
        <v>2.4509395992411639E-2</v>
      </c>
      <c r="F34">
        <f t="shared" si="4"/>
        <v>5.2135999999999997E-3</v>
      </c>
      <c r="G34">
        <f t="shared" si="5"/>
        <v>6.7615830978659886E-3</v>
      </c>
      <c r="H34">
        <f t="shared" si="6"/>
        <v>6.236204896680423E-3</v>
      </c>
      <c r="I34">
        <f t="shared" si="7"/>
        <v>5.0586285126136804E-2</v>
      </c>
    </row>
    <row r="35" spans="1:9" x14ac:dyDescent="0.2">
      <c r="A35">
        <v>1.5</v>
      </c>
      <c r="B35">
        <f t="shared" si="0"/>
        <v>3.3554044380816035</v>
      </c>
      <c r="C35">
        <f t="shared" si="1"/>
        <v>8.7498816457116796E-3</v>
      </c>
      <c r="D35">
        <f t="shared" si="2"/>
        <v>7.3154417159868078E-3</v>
      </c>
      <c r="E35">
        <f t="shared" si="3"/>
        <v>2.498344899881725E-2</v>
      </c>
      <c r="F35">
        <f t="shared" si="4"/>
        <v>5.9850000000000007E-3</v>
      </c>
      <c r="G35">
        <f t="shared" si="5"/>
        <v>7.7620214133665684E-3</v>
      </c>
      <c r="H35">
        <f t="shared" si="6"/>
        <v>7.1589086824137508E-3</v>
      </c>
      <c r="I35">
        <f t="shared" si="7"/>
        <v>5.1357685126136803E-2</v>
      </c>
    </row>
    <row r="36" spans="1:9" x14ac:dyDescent="0.2">
      <c r="A36">
        <v>1.6</v>
      </c>
      <c r="B36">
        <f t="shared" si="0"/>
        <v>3.579098067287044</v>
      </c>
      <c r="C36">
        <f t="shared" si="1"/>
        <v>9.7267843047267287E-3</v>
      </c>
      <c r="D36">
        <f t="shared" si="2"/>
        <v>8.3233470190783258E-3</v>
      </c>
      <c r="E36">
        <f t="shared" si="3"/>
        <v>2.548015996706858E-2</v>
      </c>
      <c r="F36">
        <f t="shared" si="4"/>
        <v>6.8096000000000016E-3</v>
      </c>
      <c r="G36">
        <f t="shared" si="5"/>
        <v>8.8314554747637424E-3</v>
      </c>
      <c r="H36">
        <f t="shared" si="6"/>
        <v>8.1452472119907578E-3</v>
      </c>
      <c r="I36">
        <f t="shared" si="7"/>
        <v>5.2182285126136804E-2</v>
      </c>
    </row>
    <row r="37" spans="1:9" x14ac:dyDescent="0.2">
      <c r="A37">
        <v>1.7</v>
      </c>
      <c r="B37">
        <f t="shared" si="0"/>
        <v>3.8027916964924846</v>
      </c>
      <c r="C37">
        <f t="shared" si="1"/>
        <v>1.0743573141809903E-2</v>
      </c>
      <c r="D37">
        <f t="shared" si="2"/>
        <v>9.396278470756388E-3</v>
      </c>
      <c r="E37">
        <f t="shared" si="3"/>
        <v>2.5999094033892466E-2</v>
      </c>
      <c r="F37">
        <f t="shared" si="4"/>
        <v>7.6873999999999996E-3</v>
      </c>
      <c r="G37">
        <f t="shared" si="5"/>
        <v>9.9698852820575019E-3</v>
      </c>
      <c r="H37">
        <f t="shared" si="6"/>
        <v>9.195220485411439E-3</v>
      </c>
      <c r="I37">
        <f t="shared" si="7"/>
        <v>5.3060085126136809E-2</v>
      </c>
    </row>
    <row r="38" spans="1:9" x14ac:dyDescent="0.2">
      <c r="A38">
        <v>1.8</v>
      </c>
      <c r="B38">
        <f t="shared" si="0"/>
        <v>4.0264853256979247</v>
      </c>
      <c r="C38">
        <f t="shared" si="1"/>
        <v>1.1799386365736672E-2</v>
      </c>
      <c r="D38">
        <f t="shared" si="2"/>
        <v>1.0534236071021002E-2</v>
      </c>
      <c r="E38">
        <f t="shared" si="3"/>
        <v>2.6539850355614219E-2</v>
      </c>
      <c r="F38">
        <f t="shared" si="4"/>
        <v>8.6184E-3</v>
      </c>
      <c r="G38">
        <f t="shared" si="5"/>
        <v>1.117731083524786E-2</v>
      </c>
      <c r="H38">
        <f t="shared" si="6"/>
        <v>1.0308828502675803E-2</v>
      </c>
      <c r="I38">
        <f t="shared" si="7"/>
        <v>5.3991085126136804E-2</v>
      </c>
    </row>
    <row r="39" spans="1:9" x14ac:dyDescent="0.2">
      <c r="A39">
        <v>1.9</v>
      </c>
      <c r="B39">
        <f t="shared" si="0"/>
        <v>4.2501789549033653</v>
      </c>
      <c r="C39">
        <f t="shared" si="1"/>
        <v>1.2893428591978704E-2</v>
      </c>
      <c r="D39">
        <f t="shared" si="2"/>
        <v>1.1737219819872167E-2</v>
      </c>
      <c r="E39">
        <f t="shared" si="3"/>
        <v>2.710205766361767E-2</v>
      </c>
      <c r="F39">
        <f t="shared" si="4"/>
        <v>9.6025999999999993E-3</v>
      </c>
      <c r="G39">
        <f t="shared" si="5"/>
        <v>1.2453732134334808E-2</v>
      </c>
      <c r="H39">
        <f t="shared" si="6"/>
        <v>1.1486071263783841E-2</v>
      </c>
      <c r="I39">
        <f t="shared" si="7"/>
        <v>5.4975285126136801E-2</v>
      </c>
    </row>
    <row r="40" spans="1:9" x14ac:dyDescent="0.2">
      <c r="A40">
        <v>2</v>
      </c>
      <c r="B40">
        <f t="shared" si="0"/>
        <v>4.473872584108805</v>
      </c>
      <c r="C40">
        <f t="shared" si="1"/>
        <v>1.4024962433888996E-2</v>
      </c>
      <c r="D40">
        <f t="shared" si="2"/>
        <v>1.300522971730988E-2</v>
      </c>
      <c r="E40">
        <f t="shared" si="3"/>
        <v>2.7685370608663624E-2</v>
      </c>
      <c r="F40">
        <f t="shared" si="4"/>
        <v>1.064E-2</v>
      </c>
      <c r="G40">
        <f t="shared" si="5"/>
        <v>1.3799149179318347E-2</v>
      </c>
      <c r="H40">
        <f t="shared" si="6"/>
        <v>1.2726948768735558E-2</v>
      </c>
      <c r="I40">
        <f t="shared" si="7"/>
        <v>5.6012685126136802E-2</v>
      </c>
    </row>
    <row r="41" spans="1:9" x14ac:dyDescent="0.2">
      <c r="A41">
        <v>2.1</v>
      </c>
      <c r="B41">
        <f t="shared" si="0"/>
        <v>4.6975662133142455</v>
      </c>
      <c r="C41">
        <f t="shared" si="1"/>
        <v>1.5193301533462027E-2</v>
      </c>
      <c r="D41">
        <f t="shared" si="2"/>
        <v>1.4338265763334144E-2</v>
      </c>
      <c r="E41">
        <f t="shared" si="3"/>
        <v>2.8289466720834461E-2</v>
      </c>
      <c r="F41">
        <f t="shared" si="4"/>
        <v>1.1730600000000001E-2</v>
      </c>
      <c r="G41">
        <f t="shared" si="5"/>
        <v>1.5213561970198478E-2</v>
      </c>
      <c r="H41">
        <f t="shared" si="6"/>
        <v>1.4031461017530953E-2</v>
      </c>
      <c r="I41">
        <f t="shared" si="7"/>
        <v>5.7103285126136799E-2</v>
      </c>
    </row>
    <row r="42" spans="1:9" x14ac:dyDescent="0.2">
      <c r="A42">
        <v>2.2000000000000002</v>
      </c>
      <c r="B42">
        <f t="shared" si="0"/>
        <v>4.9212598425196852</v>
      </c>
      <c r="C42">
        <f t="shared" si="1"/>
        <v>1.6397804727214436E-2</v>
      </c>
      <c r="D42">
        <f t="shared" si="2"/>
        <v>1.5736327957944957E-2</v>
      </c>
      <c r="E42">
        <f t="shared" si="3"/>
        <v>2.8914043856506824E-2</v>
      </c>
      <c r="F42">
        <f t="shared" si="4"/>
        <v>1.2874400000000003E-2</v>
      </c>
      <c r="G42">
        <f t="shared" si="5"/>
        <v>1.66969705069752E-2</v>
      </c>
      <c r="H42">
        <f t="shared" si="6"/>
        <v>1.5399608010170027E-2</v>
      </c>
      <c r="I42">
        <f t="shared" si="7"/>
        <v>5.8247085126136806E-2</v>
      </c>
    </row>
    <row r="43" spans="1:9" x14ac:dyDescent="0.2">
      <c r="A43">
        <v>2.2999999999999998</v>
      </c>
      <c r="B43">
        <f t="shared" si="0"/>
        <v>5.1449534717251248</v>
      </c>
      <c r="C43">
        <f t="shared" si="1"/>
        <v>1.7637871118261834E-2</v>
      </c>
      <c r="D43">
        <f t="shared" si="2"/>
        <v>1.7199416301142315E-2</v>
      </c>
      <c r="E43">
        <f t="shared" si="3"/>
        <v>2.9558818035345373E-2</v>
      </c>
      <c r="F43">
        <f t="shared" si="4"/>
        <v>1.4071399999999998E-2</v>
      </c>
      <c r="G43">
        <f t="shared" si="5"/>
        <v>1.8249374789648509E-2</v>
      </c>
      <c r="H43">
        <f t="shared" si="6"/>
        <v>1.6831389746652773E-2</v>
      </c>
      <c r="I43">
        <f t="shared" si="7"/>
        <v>5.9444085126136803E-2</v>
      </c>
    </row>
    <row r="44" spans="1:9" x14ac:dyDescent="0.2">
      <c r="A44">
        <v>2.4</v>
      </c>
      <c r="B44">
        <f t="shared" si="0"/>
        <v>5.3686471009305663</v>
      </c>
      <c r="C44">
        <f t="shared" si="1"/>
        <v>1.8912935879938846E-2</v>
      </c>
      <c r="D44">
        <f t="shared" si="2"/>
        <v>1.8727530792926227E-2</v>
      </c>
      <c r="E44">
        <f t="shared" si="3"/>
        <v>3.0223521593081958E-2</v>
      </c>
      <c r="F44">
        <f t="shared" si="4"/>
        <v>1.5321599999999999E-2</v>
      </c>
      <c r="G44">
        <f t="shared" si="5"/>
        <v>1.9870774818218417E-2</v>
      </c>
      <c r="H44">
        <f t="shared" si="6"/>
        <v>1.83268062269792E-2</v>
      </c>
      <c r="I44">
        <f t="shared" si="7"/>
        <v>6.069428512613681E-2</v>
      </c>
    </row>
    <row r="45" spans="1:9" x14ac:dyDescent="0.2">
      <c r="A45">
        <v>2.5</v>
      </c>
      <c r="B45">
        <f t="shared" si="0"/>
        <v>5.592340730136006</v>
      </c>
      <c r="C45">
        <f t="shared" si="1"/>
        <v>2.0222466655954476E-2</v>
      </c>
      <c r="D45">
        <f t="shared" si="2"/>
        <v>2.0320671433296685E-2</v>
      </c>
      <c r="E45">
        <f t="shared" si="3"/>
        <v>3.0907901592528774E-2</v>
      </c>
      <c r="F45">
        <f t="shared" si="4"/>
        <v>1.6625000000000001E-2</v>
      </c>
      <c r="G45">
        <f t="shared" si="5"/>
        <v>2.1561170592684916E-2</v>
      </c>
      <c r="H45">
        <f t="shared" si="6"/>
        <v>1.9885857451149312E-2</v>
      </c>
      <c r="I45">
        <f t="shared" si="7"/>
        <v>6.1997685126136799E-2</v>
      </c>
    </row>
    <row r="46" spans="1:9" x14ac:dyDescent="0.2">
      <c r="A46">
        <v>2.6</v>
      </c>
      <c r="B46">
        <f t="shared" si="0"/>
        <v>5.8160343593414465</v>
      </c>
      <c r="C46">
        <f t="shared" si="1"/>
        <v>2.1565960451472774E-2</v>
      </c>
      <c r="D46">
        <f t="shared" si="2"/>
        <v>2.1978838222253702E-2</v>
      </c>
      <c r="E46">
        <f t="shared" si="3"/>
        <v>3.1611718447681063E-2</v>
      </c>
      <c r="F46">
        <f t="shared" si="4"/>
        <v>1.79816E-2</v>
      </c>
      <c r="G46">
        <f t="shared" si="5"/>
        <v>2.3320562113048008E-2</v>
      </c>
      <c r="H46">
        <f t="shared" si="6"/>
        <v>2.1508543419163098E-2</v>
      </c>
      <c r="I46">
        <f t="shared" si="7"/>
        <v>6.3354285126136806E-2</v>
      </c>
    </row>
    <row r="47" spans="1:9" x14ac:dyDescent="0.2">
      <c r="A47">
        <v>2.7</v>
      </c>
      <c r="B47">
        <f t="shared" si="0"/>
        <v>6.0397279885468862</v>
      </c>
      <c r="C47">
        <f t="shared" si="1"/>
        <v>2.2942940931604438E-2</v>
      </c>
      <c r="D47">
        <f t="shared" si="2"/>
        <v>2.3702031159797264E-2</v>
      </c>
      <c r="E47">
        <f t="shared" si="3"/>
        <v>3.2334744725115494E-2</v>
      </c>
      <c r="F47">
        <f t="shared" si="4"/>
        <v>1.9391400000000003E-2</v>
      </c>
      <c r="G47">
        <f t="shared" si="5"/>
        <v>2.514894937930769E-2</v>
      </c>
      <c r="H47">
        <f t="shared" si="6"/>
        <v>2.3194864131020555E-2</v>
      </c>
      <c r="I47">
        <f t="shared" si="7"/>
        <v>6.4764085126136808E-2</v>
      </c>
    </row>
    <row r="48" spans="1:9" x14ac:dyDescent="0.2">
      <c r="A48">
        <v>2.8</v>
      </c>
      <c r="B48">
        <f t="shared" si="0"/>
        <v>6.2634216177523268</v>
      </c>
      <c r="C48">
        <f t="shared" si="1"/>
        <v>2.4352956060609835E-2</v>
      </c>
      <c r="D48">
        <f t="shared" si="2"/>
        <v>2.5490250245927361E-2</v>
      </c>
      <c r="E48">
        <f t="shared" si="3"/>
        <v>3.3076764094024769E-2</v>
      </c>
      <c r="F48">
        <f t="shared" si="4"/>
        <v>2.0854399999999999E-2</v>
      </c>
      <c r="G48">
        <f t="shared" si="5"/>
        <v>2.7046332391463954E-2</v>
      </c>
      <c r="H48">
        <f t="shared" si="6"/>
        <v>2.4944819586721692E-2</v>
      </c>
      <c r="I48">
        <f t="shared" si="7"/>
        <v>6.62270851261368E-2</v>
      </c>
    </row>
    <row r="49" spans="1:9" x14ac:dyDescent="0.2">
      <c r="A49">
        <v>2.9</v>
      </c>
      <c r="B49">
        <f t="shared" si="0"/>
        <v>6.4871152469577664</v>
      </c>
      <c r="C49">
        <f t="shared" si="1"/>
        <v>2.5795576028056683E-2</v>
      </c>
      <c r="D49">
        <f t="shared" si="2"/>
        <v>2.7343495480644023E-2</v>
      </c>
      <c r="E49">
        <f t="shared" si="3"/>
        <v>3.3837570401734067E-2</v>
      </c>
      <c r="F49">
        <f t="shared" si="4"/>
        <v>2.2370600000000001E-2</v>
      </c>
      <c r="G49">
        <f t="shared" si="5"/>
        <v>2.9012711149516823E-2</v>
      </c>
      <c r="H49">
        <f t="shared" si="6"/>
        <v>2.6758409786266514E-2</v>
      </c>
      <c r="I49">
        <f t="shared" si="7"/>
        <v>6.7743285126136796E-2</v>
      </c>
    </row>
    <row r="50" spans="1:9" x14ac:dyDescent="0.2">
      <c r="A50">
        <v>3</v>
      </c>
      <c r="B50">
        <f t="shared" si="0"/>
        <v>6.710808876163207</v>
      </c>
      <c r="C50">
        <f t="shared" si="1"/>
        <v>2.727039141824026E-2</v>
      </c>
      <c r="D50">
        <f t="shared" si="2"/>
        <v>2.9261766863947231E-2</v>
      </c>
      <c r="E50">
        <f t="shared" si="3"/>
        <v>3.461696685583613E-2</v>
      </c>
      <c r="F50">
        <f t="shared" si="4"/>
        <v>2.3940000000000003E-2</v>
      </c>
      <c r="G50">
        <f t="shared" si="5"/>
        <v>3.1048085653466274E-2</v>
      </c>
      <c r="H50">
        <f t="shared" si="6"/>
        <v>2.8635634729655003E-2</v>
      </c>
      <c r="I50">
        <f t="shared" si="7"/>
        <v>6.9312685126136808E-2</v>
      </c>
    </row>
    <row r="51" spans="1:9" x14ac:dyDescent="0.2">
      <c r="A51">
        <v>3.1</v>
      </c>
      <c r="B51">
        <f t="shared" si="0"/>
        <v>6.9345025053686467</v>
      </c>
      <c r="C51">
        <f t="shared" si="1"/>
        <v>2.8777011587079349E-2</v>
      </c>
      <c r="D51">
        <f t="shared" si="2"/>
        <v>3.1245064395836991E-2</v>
      </c>
      <c r="E51">
        <f t="shared" si="3"/>
        <v>3.5414765297459988E-2</v>
      </c>
      <c r="F51">
        <f t="shared" si="4"/>
        <v>2.5562600000000005E-2</v>
      </c>
      <c r="G51">
        <f t="shared" si="5"/>
        <v>3.3152455903312325E-2</v>
      </c>
      <c r="H51">
        <f t="shared" si="6"/>
        <v>3.057649441688718E-2</v>
      </c>
      <c r="I51">
        <f t="shared" si="7"/>
        <v>7.093528512613681E-2</v>
      </c>
    </row>
    <row r="52" spans="1:9" x14ac:dyDescent="0.2">
      <c r="A52">
        <v>3.2</v>
      </c>
      <c r="B52">
        <f t="shared" si="0"/>
        <v>7.1581961345740881</v>
      </c>
      <c r="C52">
        <f t="shared" si="1"/>
        <v>3.0315063216962992E-2</v>
      </c>
      <c r="D52">
        <f t="shared" si="2"/>
        <v>3.3293388076313303E-2</v>
      </c>
      <c r="E52">
        <f t="shared" si="3"/>
        <v>3.6230785552870383E-2</v>
      </c>
      <c r="F52">
        <f t="shared" si="4"/>
        <v>2.7238400000000006E-2</v>
      </c>
      <c r="G52">
        <f t="shared" si="5"/>
        <v>3.532582189905497E-2</v>
      </c>
      <c r="H52">
        <f t="shared" si="6"/>
        <v>3.2580988847963031E-2</v>
      </c>
      <c r="I52">
        <f t="shared" si="7"/>
        <v>7.2611085126136815E-2</v>
      </c>
    </row>
    <row r="53" spans="1:9" x14ac:dyDescent="0.2">
      <c r="A53">
        <v>3.3</v>
      </c>
      <c r="B53">
        <f t="shared" ref="B53:B84" si="8">A53*100/2.54/12/5280*60*60</f>
        <v>7.381889763779526</v>
      </c>
      <c r="C53">
        <f t="shared" ref="C53:C84" si="9">(0.45*(A53^1.64))/100</f>
        <v>3.1884189025026169E-2</v>
      </c>
      <c r="D53">
        <f t="shared" si="2"/>
        <v>3.5406737905376143E-2</v>
      </c>
      <c r="E53">
        <f t="shared" si="3"/>
        <v>3.7064854852741941E-2</v>
      </c>
      <c r="F53">
        <f t="shared" si="4"/>
        <v>2.8967399999999997E-2</v>
      </c>
      <c r="G53">
        <f t="shared" si="5"/>
        <v>3.756818364069419E-2</v>
      </c>
      <c r="H53">
        <f t="shared" si="6"/>
        <v>3.464911802288255E-2</v>
      </c>
      <c r="I53">
        <f t="shared" si="7"/>
        <v>7.4340085126136796E-2</v>
      </c>
    </row>
    <row r="54" spans="1:9" x14ac:dyDescent="0.2">
      <c r="A54">
        <v>3.4</v>
      </c>
      <c r="B54">
        <f t="shared" si="8"/>
        <v>7.6055833929849692</v>
      </c>
      <c r="C54">
        <f t="shared" si="9"/>
        <v>3.3484046604360593E-2</v>
      </c>
      <c r="D54">
        <f t="shared" si="2"/>
        <v>3.7585113883025552E-2</v>
      </c>
      <c r="E54">
        <f t="shared" si="3"/>
        <v>3.7916807310184757E-2</v>
      </c>
      <c r="F54">
        <f t="shared" si="4"/>
        <v>3.0749599999999998E-2</v>
      </c>
      <c r="G54">
        <f t="shared" si="5"/>
        <v>3.9879541128230007E-2</v>
      </c>
      <c r="H54">
        <f t="shared" si="6"/>
        <v>3.6780881941645756E-2</v>
      </c>
      <c r="I54">
        <f t="shared" si="7"/>
        <v>7.6122285126136807E-2</v>
      </c>
    </row>
    <row r="55" spans="1:9" x14ac:dyDescent="0.2">
      <c r="A55">
        <v>3.5</v>
      </c>
      <c r="B55">
        <f t="shared" si="8"/>
        <v>7.8292770221904053</v>
      </c>
      <c r="C55">
        <f t="shared" si="9"/>
        <v>3.5114307380932318E-2</v>
      </c>
      <c r="D55">
        <f t="shared" si="2"/>
        <v>3.982851600926151E-2</v>
      </c>
      <c r="E55">
        <f t="shared" si="3"/>
        <v>3.8786483450005349E-2</v>
      </c>
      <c r="F55">
        <f t="shared" si="4"/>
        <v>3.2585000000000003E-2</v>
      </c>
      <c r="G55">
        <f t="shared" si="5"/>
        <v>4.2259894361662428E-2</v>
      </c>
      <c r="H55">
        <f t="shared" si="6"/>
        <v>3.8976280604252643E-2</v>
      </c>
      <c r="I55">
        <f t="shared" si="7"/>
        <v>7.7957685126136808E-2</v>
      </c>
    </row>
    <row r="56" spans="1:9" x14ac:dyDescent="0.2">
      <c r="A56">
        <v>3.6</v>
      </c>
      <c r="B56">
        <f t="shared" si="8"/>
        <v>8.0529706513958494</v>
      </c>
      <c r="C56">
        <f t="shared" si="9"/>
        <v>3.6774655671644174E-2</v>
      </c>
      <c r="D56">
        <f t="shared" si="2"/>
        <v>4.2136944284084009E-2</v>
      </c>
      <c r="E56">
        <f t="shared" si="3"/>
        <v>3.9673729782837869E-2</v>
      </c>
      <c r="F56">
        <f t="shared" si="4"/>
        <v>3.44736E-2</v>
      </c>
      <c r="G56">
        <f t="shared" si="5"/>
        <v>4.4709243340991439E-2</v>
      </c>
      <c r="H56">
        <f t="shared" si="6"/>
        <v>4.1235314010703211E-2</v>
      </c>
      <c r="I56">
        <f t="shared" si="7"/>
        <v>7.9846285126136798E-2</v>
      </c>
    </row>
    <row r="57" spans="1:9" x14ac:dyDescent="0.2">
      <c r="A57">
        <v>3.7</v>
      </c>
      <c r="B57">
        <f t="shared" si="8"/>
        <v>8.2766642806012864</v>
      </c>
      <c r="C57">
        <f t="shared" si="9"/>
        <v>3.8464787831171209E-2</v>
      </c>
      <c r="D57">
        <f t="shared" si="2"/>
        <v>4.4510398707493064E-2</v>
      </c>
      <c r="E57">
        <f t="shared" si="3"/>
        <v>4.0578398418728082E-2</v>
      </c>
      <c r="F57">
        <f t="shared" si="4"/>
        <v>3.6415400000000007E-2</v>
      </c>
      <c r="G57">
        <f t="shared" si="5"/>
        <v>4.7227588066217047E-2</v>
      </c>
      <c r="H57">
        <f t="shared" si="6"/>
        <v>4.3557982160997454E-2</v>
      </c>
      <c r="I57">
        <f t="shared" si="7"/>
        <v>8.178808512613682E-2</v>
      </c>
    </row>
    <row r="58" spans="1:9" x14ac:dyDescent="0.2">
      <c r="A58">
        <v>3.8</v>
      </c>
      <c r="B58">
        <f t="shared" si="8"/>
        <v>8.5003579098067306</v>
      </c>
      <c r="C58">
        <f t="shared" si="9"/>
        <v>4.0184411477007027E-2</v>
      </c>
      <c r="D58">
        <f t="shared" si="2"/>
        <v>4.6948879279488667E-2</v>
      </c>
      <c r="E58">
        <f t="shared" si="3"/>
        <v>4.1500346715537033E-2</v>
      </c>
      <c r="F58">
        <f t="shared" si="4"/>
        <v>3.8410399999999997E-2</v>
      </c>
      <c r="G58">
        <f t="shared" si="5"/>
        <v>4.981492853733923E-2</v>
      </c>
      <c r="H58">
        <f t="shared" si="6"/>
        <v>4.5944285055135363E-2</v>
      </c>
      <c r="I58">
        <f t="shared" si="7"/>
        <v>8.3783085126136803E-2</v>
      </c>
    </row>
    <row r="59" spans="1:9" x14ac:dyDescent="0.2">
      <c r="A59">
        <v>3.9</v>
      </c>
      <c r="B59">
        <f t="shared" si="8"/>
        <v>8.7240515390121676</v>
      </c>
      <c r="C59">
        <f t="shared" si="9"/>
        <v>4.1933244783663469E-2</v>
      </c>
      <c r="D59">
        <f t="shared" si="2"/>
        <v>4.9452386000070812E-2</v>
      </c>
      <c r="E59">
        <f t="shared" si="3"/>
        <v>4.2439436958183814E-2</v>
      </c>
      <c r="F59">
        <f t="shared" si="4"/>
        <v>4.0458600000000004E-2</v>
      </c>
      <c r="G59">
        <f t="shared" si="5"/>
        <v>5.247126475435801E-2</v>
      </c>
      <c r="H59">
        <f t="shared" si="6"/>
        <v>4.8394222693116953E-2</v>
      </c>
      <c r="I59">
        <f t="shared" si="7"/>
        <v>8.5831285126136803E-2</v>
      </c>
    </row>
    <row r="60" spans="1:9" x14ac:dyDescent="0.2">
      <c r="A60">
        <v>4</v>
      </c>
      <c r="B60">
        <f t="shared" si="8"/>
        <v>8.9477451682176099</v>
      </c>
      <c r="C60">
        <f t="shared" si="9"/>
        <v>4.3711015838221678E-2</v>
      </c>
      <c r="D60">
        <f t="shared" si="2"/>
        <v>5.202091886923952E-2</v>
      </c>
      <c r="E60">
        <f t="shared" si="3"/>
        <v>4.3395536065293776E-2</v>
      </c>
      <c r="F60">
        <f t="shared" si="4"/>
        <v>4.2560000000000001E-2</v>
      </c>
      <c r="G60">
        <f t="shared" si="5"/>
        <v>5.5196596717273387E-2</v>
      </c>
      <c r="H60">
        <f t="shared" si="6"/>
        <v>5.0907795074942232E-2</v>
      </c>
      <c r="I60">
        <f t="shared" si="7"/>
        <v>8.7932685126136806E-2</v>
      </c>
    </row>
    <row r="61" spans="1:9" x14ac:dyDescent="0.2">
      <c r="A61">
        <v>4.0999999999999996</v>
      </c>
      <c r="B61">
        <f t="shared" si="8"/>
        <v>9.1714387974230469</v>
      </c>
      <c r="C61">
        <f t="shared" si="9"/>
        <v>4.5517462050488462E-2</v>
      </c>
      <c r="D61">
        <f t="shared" si="2"/>
        <v>5.4654477886994762E-2</v>
      </c>
      <c r="E61">
        <f t="shared" si="3"/>
        <v>4.4368515320277566E-2</v>
      </c>
      <c r="F61">
        <f t="shared" si="4"/>
        <v>4.4714599999999993E-2</v>
      </c>
      <c r="G61">
        <f t="shared" si="5"/>
        <v>5.7990924426085347E-2</v>
      </c>
      <c r="H61">
        <f t="shared" si="6"/>
        <v>5.3485002200611184E-2</v>
      </c>
      <c r="I61">
        <f t="shared" si="7"/>
        <v>9.0087285126136785E-2</v>
      </c>
    </row>
    <row r="62" spans="1:9" x14ac:dyDescent="0.2">
      <c r="A62">
        <v>4.2</v>
      </c>
      <c r="B62">
        <f t="shared" si="8"/>
        <v>9.395132426628491</v>
      </c>
      <c r="C62">
        <f t="shared" si="9"/>
        <v>4.7352329611900688E-2</v>
      </c>
      <c r="D62">
        <f t="shared" si="2"/>
        <v>5.7353063053336574E-2</v>
      </c>
      <c r="E62">
        <f t="shared" si="3"/>
        <v>4.5358250124254769E-2</v>
      </c>
      <c r="F62">
        <f t="shared" si="4"/>
        <v>4.6922400000000003E-2</v>
      </c>
      <c r="G62">
        <f t="shared" si="5"/>
        <v>6.085424788079391E-2</v>
      </c>
      <c r="H62">
        <f t="shared" si="6"/>
        <v>5.6125844070123811E-2</v>
      </c>
      <c r="I62">
        <f t="shared" si="7"/>
        <v>9.2295085126136808E-2</v>
      </c>
    </row>
    <row r="63" spans="1:9" x14ac:dyDescent="0.2">
      <c r="A63">
        <v>4.3</v>
      </c>
      <c r="B63">
        <f t="shared" si="8"/>
        <v>9.618826055833928</v>
      </c>
      <c r="C63">
        <f t="shared" si="9"/>
        <v>4.9215372998074776E-2</v>
      </c>
      <c r="D63">
        <f t="shared" si="2"/>
        <v>6.0116674368264914E-2</v>
      </c>
      <c r="E63">
        <f t="shared" si="3"/>
        <v>4.6364619768565166E-2</v>
      </c>
      <c r="F63">
        <f t="shared" si="4"/>
        <v>4.9183399999999995E-2</v>
      </c>
      <c r="G63">
        <f t="shared" si="5"/>
        <v>6.3786567081399043E-2</v>
      </c>
      <c r="H63">
        <f t="shared" si="6"/>
        <v>5.8830320683480111E-2</v>
      </c>
      <c r="I63">
        <f t="shared" si="7"/>
        <v>9.4556085126136794E-2</v>
      </c>
    </row>
    <row r="64" spans="1:9" x14ac:dyDescent="0.2">
      <c r="A64">
        <v>4.4000000000000004</v>
      </c>
      <c r="B64">
        <f t="shared" si="8"/>
        <v>9.8425196850393704</v>
      </c>
      <c r="C64">
        <f t="shared" si="9"/>
        <v>5.1106354510539971E-2</v>
      </c>
      <c r="D64">
        <f t="shared" si="2"/>
        <v>6.2945311831779829E-2</v>
      </c>
      <c r="E64">
        <f t="shared" si="3"/>
        <v>4.7387507224891531E-2</v>
      </c>
      <c r="F64">
        <f t="shared" si="4"/>
        <v>5.1497600000000011E-2</v>
      </c>
      <c r="G64">
        <f t="shared" si="5"/>
        <v>6.67878820279008E-2</v>
      </c>
      <c r="H64">
        <f t="shared" si="6"/>
        <v>6.1598432040680107E-2</v>
      </c>
      <c r="I64">
        <f t="shared" si="7"/>
        <v>9.6870285126136824E-2</v>
      </c>
    </row>
    <row r="65" spans="1:9" x14ac:dyDescent="0.2">
      <c r="A65">
        <v>4.5</v>
      </c>
      <c r="B65">
        <f t="shared" si="8"/>
        <v>10.066213314244809</v>
      </c>
      <c r="C65">
        <f t="shared" si="9"/>
        <v>5.3025043853740829E-2</v>
      </c>
      <c r="D65">
        <f t="shared" si="2"/>
        <v>6.5838975443881273E-2</v>
      </c>
      <c r="E65">
        <f t="shared" si="3"/>
        <v>4.8426798951257746E-2</v>
      </c>
      <c r="F65">
        <f t="shared" si="4"/>
        <v>5.3864999999999996E-2</v>
      </c>
      <c r="G65">
        <f t="shared" si="5"/>
        <v>6.9858192720299125E-2</v>
      </c>
      <c r="H65">
        <f t="shared" si="6"/>
        <v>6.4430178141723762E-2</v>
      </c>
      <c r="I65">
        <f t="shared" si="7"/>
        <v>9.9237685126136801E-2</v>
      </c>
    </row>
    <row r="66" spans="1:9" x14ac:dyDescent="0.2">
      <c r="A66">
        <v>4.5999999999999996</v>
      </c>
      <c r="B66">
        <f t="shared" si="8"/>
        <v>10.28990694345025</v>
      </c>
      <c r="C66">
        <f t="shared" si="9"/>
        <v>5.4971217743866214E-2</v>
      </c>
      <c r="D66">
        <f t="shared" si="2"/>
        <v>6.8797665204569258E-2</v>
      </c>
      <c r="E66">
        <f t="shared" si="3"/>
        <v>4.9482384712372485E-2</v>
      </c>
      <c r="F66">
        <f t="shared" si="4"/>
        <v>5.6285599999999991E-2</v>
      </c>
      <c r="G66">
        <f t="shared" si="5"/>
        <v>7.2997499158594034E-2</v>
      </c>
      <c r="H66">
        <f t="shared" si="6"/>
        <v>6.7325558986611092E-2</v>
      </c>
      <c r="I66">
        <f t="shared" si="7"/>
        <v>0.10165828512613678</v>
      </c>
    </row>
    <row r="67" spans="1:9" x14ac:dyDescent="0.2">
      <c r="A67">
        <v>4.7</v>
      </c>
      <c r="B67">
        <f t="shared" si="8"/>
        <v>10.51360057265569</v>
      </c>
      <c r="C67">
        <f t="shared" si="9"/>
        <v>5.6944659546464375E-2</v>
      </c>
      <c r="D67">
        <f t="shared" si="2"/>
        <v>7.1821381113843827E-2</v>
      </c>
      <c r="E67">
        <f t="shared" si="3"/>
        <v>5.055415741296649E-2</v>
      </c>
      <c r="F67">
        <f t="shared" si="4"/>
        <v>5.875940000000001E-2</v>
      </c>
      <c r="G67">
        <f t="shared" si="5"/>
        <v>7.6205801342785581E-2</v>
      </c>
      <c r="H67">
        <f t="shared" si="6"/>
        <v>7.0284574575342137E-2</v>
      </c>
      <c r="I67">
        <f t="shared" si="7"/>
        <v>0.10413208512613682</v>
      </c>
    </row>
    <row r="68" spans="1:9" x14ac:dyDescent="0.2">
      <c r="A68">
        <v>4.8</v>
      </c>
      <c r="B68">
        <f t="shared" si="8"/>
        <v>10.737294201861133</v>
      </c>
      <c r="C68">
        <f t="shared" si="9"/>
        <v>5.8945158940154167E-2</v>
      </c>
      <c r="D68">
        <f t="shared" si="2"/>
        <v>7.4910123171704909E-2</v>
      </c>
      <c r="E68">
        <f t="shared" si="3"/>
        <v>5.1642012942924705E-2</v>
      </c>
      <c r="F68">
        <f t="shared" si="4"/>
        <v>6.1286399999999998E-2</v>
      </c>
      <c r="G68">
        <f t="shared" si="5"/>
        <v>7.948309927287367E-2</v>
      </c>
      <c r="H68">
        <f t="shared" si="6"/>
        <v>7.3307224907916801E-2</v>
      </c>
      <c r="I68">
        <f t="shared" si="7"/>
        <v>0.1066590851261368</v>
      </c>
    </row>
    <row r="69" spans="1:9" x14ac:dyDescent="0.2">
      <c r="A69">
        <v>4.9000000000000004</v>
      </c>
      <c r="B69">
        <f t="shared" si="8"/>
        <v>10.960987831066571</v>
      </c>
      <c r="C69">
        <f t="shared" si="9"/>
        <v>6.0972511604045029E-2</v>
      </c>
      <c r="D69">
        <f t="shared" si="2"/>
        <v>7.8063891378152575E-2</v>
      </c>
      <c r="E69">
        <f t="shared" si="3"/>
        <v>5.2745850033148772E-2</v>
      </c>
      <c r="F69">
        <f t="shared" si="4"/>
        <v>6.3866600000000023E-2</v>
      </c>
      <c r="G69">
        <f t="shared" si="5"/>
        <v>8.2829392948858369E-2</v>
      </c>
      <c r="H69">
        <f t="shared" si="6"/>
        <v>7.6393509984335195E-2</v>
      </c>
      <c r="I69">
        <f t="shared" si="7"/>
        <v>0.10923928512613681</v>
      </c>
    </row>
    <row r="70" spans="1:9" x14ac:dyDescent="0.2">
      <c r="A70">
        <v>5</v>
      </c>
      <c r="B70">
        <f t="shared" si="8"/>
        <v>11.184681460272012</v>
      </c>
      <c r="C70">
        <f t="shared" si="9"/>
        <v>6.3026518926740951E-2</v>
      </c>
      <c r="D70">
        <f t="shared" si="2"/>
        <v>8.1282685733186741E-2</v>
      </c>
      <c r="E70">
        <f t="shared" si="3"/>
        <v>5.3865570121200503E-2</v>
      </c>
      <c r="F70">
        <f t="shared" si="4"/>
        <v>6.6500000000000004E-2</v>
      </c>
      <c r="G70">
        <f t="shared" si="5"/>
        <v>8.6244682370739664E-2</v>
      </c>
      <c r="H70">
        <f t="shared" si="6"/>
        <v>7.9543429804597249E-2</v>
      </c>
      <c r="I70">
        <f t="shared" si="7"/>
        <v>0.11187268512613681</v>
      </c>
    </row>
    <row r="71" spans="1:9" x14ac:dyDescent="0.2">
      <c r="A71">
        <v>5.0999999999999996</v>
      </c>
      <c r="B71">
        <f t="shared" si="8"/>
        <v>11.408375089477449</v>
      </c>
      <c r="C71">
        <f t="shared" si="9"/>
        <v>6.5106987735033164E-2</v>
      </c>
      <c r="D71">
        <f t="shared" si="2"/>
        <v>8.4566506236807476E-2</v>
      </c>
      <c r="E71">
        <f t="shared" si="3"/>
        <v>5.500107722587929E-2</v>
      </c>
      <c r="F71">
        <f t="shared" si="4"/>
        <v>6.9186600000000001E-2</v>
      </c>
      <c r="G71">
        <f t="shared" si="5"/>
        <v>8.9728967538517529E-2</v>
      </c>
      <c r="H71">
        <f t="shared" si="6"/>
        <v>8.2756984368702963E-2</v>
      </c>
      <c r="I71">
        <f t="shared" si="7"/>
        <v>0.11455928512613682</v>
      </c>
    </row>
    <row r="72" spans="1:9" x14ac:dyDescent="0.2">
      <c r="A72">
        <v>5.2</v>
      </c>
      <c r="B72">
        <f t="shared" si="8"/>
        <v>11.632068718682893</v>
      </c>
      <c r="C72">
        <f t="shared" si="9"/>
        <v>6.7213730040586991E-2</v>
      </c>
      <c r="D72">
        <f t="shared" si="2"/>
        <v>8.7915352889014808E-2</v>
      </c>
      <c r="E72">
        <f t="shared" si="3"/>
        <v>5.6152277829973958E-2</v>
      </c>
      <c r="F72">
        <f t="shared" si="4"/>
        <v>7.1926400000000001E-2</v>
      </c>
      <c r="G72">
        <f t="shared" si="5"/>
        <v>9.3282248452192032E-2</v>
      </c>
      <c r="H72">
        <f t="shared" si="6"/>
        <v>8.6034173676652392E-2</v>
      </c>
      <c r="I72">
        <f t="shared" si="7"/>
        <v>0.11729908512613681</v>
      </c>
    </row>
    <row r="73" spans="1:9" x14ac:dyDescent="0.2">
      <c r="A73">
        <v>5.3</v>
      </c>
      <c r="B73">
        <f t="shared" si="8"/>
        <v>11.855762347888332</v>
      </c>
      <c r="C73">
        <f t="shared" si="9"/>
        <v>6.9346562803104292E-2</v>
      </c>
      <c r="D73">
        <f t="shared" si="2"/>
        <v>9.1329225689808627E-2</v>
      </c>
      <c r="E73">
        <f t="shared" si="3"/>
        <v>5.7319080770509068E-2</v>
      </c>
      <c r="F73">
        <f t="shared" si="4"/>
        <v>7.4719400000000005E-2</v>
      </c>
      <c r="G73">
        <f t="shared" si="5"/>
        <v>9.6904525111763076E-2</v>
      </c>
      <c r="H73">
        <f t="shared" si="6"/>
        <v>8.9374997728445441E-2</v>
      </c>
      <c r="I73">
        <f t="shared" si="7"/>
        <v>0.12009208512613681</v>
      </c>
    </row>
    <row r="74" spans="1:9" x14ac:dyDescent="0.2">
      <c r="A74">
        <v>5.4</v>
      </c>
      <c r="B74">
        <f t="shared" si="8"/>
        <v>12.079455977093772</v>
      </c>
      <c r="C74">
        <f t="shared" si="9"/>
        <v>7.1505307708596991E-2</v>
      </c>
      <c r="D74">
        <f t="shared" si="2"/>
        <v>9.4808124639189056E-2</v>
      </c>
      <c r="E74">
        <f t="shared" si="3"/>
        <v>5.8501397135872525E-2</v>
      </c>
      <c r="F74">
        <f t="shared" si="4"/>
        <v>7.7565600000000012E-2</v>
      </c>
      <c r="G74">
        <f t="shared" si="5"/>
        <v>0.10059579751723076</v>
      </c>
      <c r="H74">
        <f t="shared" si="6"/>
        <v>9.2779456524082218E-2</v>
      </c>
      <c r="I74">
        <f t="shared" si="7"/>
        <v>0.12293828512613683</v>
      </c>
    </row>
    <row r="75" spans="1:9" x14ac:dyDescent="0.2">
      <c r="A75">
        <v>5.5</v>
      </c>
      <c r="B75">
        <f t="shared" si="8"/>
        <v>12.303149606299213</v>
      </c>
      <c r="C75">
        <f t="shared" si="9"/>
        <v>7.3689790961543655E-2</v>
      </c>
      <c r="D75">
        <f t="shared" si="2"/>
        <v>9.8352049737155958E-2</v>
      </c>
      <c r="E75">
        <f t="shared" si="3"/>
        <v>5.9699140169273114E-2</v>
      </c>
      <c r="F75">
        <f t="shared" si="4"/>
        <v>8.0464999999999995E-2</v>
      </c>
      <c r="G75">
        <f t="shared" si="5"/>
        <v>0.10435606566859498</v>
      </c>
      <c r="H75">
        <f t="shared" si="6"/>
        <v>9.6247550063562656E-2</v>
      </c>
      <c r="I75">
        <f t="shared" si="7"/>
        <v>0.1258376851261368</v>
      </c>
    </row>
    <row r="76" spans="1:9" x14ac:dyDescent="0.2">
      <c r="A76">
        <v>5.6</v>
      </c>
      <c r="B76">
        <f t="shared" si="8"/>
        <v>12.526843235504654</v>
      </c>
      <c r="C76">
        <f t="shared" si="9"/>
        <v>7.5899843089822755E-2</v>
      </c>
      <c r="D76">
        <f t="shared" si="2"/>
        <v>0.10196100098370944</v>
      </c>
      <c r="E76">
        <f t="shared" si="3"/>
        <v>6.0912225178029737E-2</v>
      </c>
      <c r="F76">
        <f t="shared" si="4"/>
        <v>8.3417599999999995E-2</v>
      </c>
      <c r="G76">
        <f t="shared" si="5"/>
        <v>0.10818532956585582</v>
      </c>
      <c r="H76">
        <f t="shared" si="6"/>
        <v>9.9779278346886768E-2</v>
      </c>
      <c r="I76">
        <f t="shared" si="7"/>
        <v>0.1287902851261368</v>
      </c>
    </row>
    <row r="77" spans="1:9" x14ac:dyDescent="0.2">
      <c r="A77">
        <v>5.7</v>
      </c>
      <c r="B77">
        <f t="shared" si="8"/>
        <v>12.750536864710094</v>
      </c>
      <c r="C77">
        <f t="shared" si="9"/>
        <v>7.8135298761419947E-2</v>
      </c>
      <c r="D77">
        <f t="shared" si="2"/>
        <v>0.10563497837884951</v>
      </c>
      <c r="E77">
        <f t="shared" si="3"/>
        <v>6.2140569448241333E-2</v>
      </c>
      <c r="F77">
        <f t="shared" si="4"/>
        <v>8.6423400000000011E-2</v>
      </c>
      <c r="G77">
        <f t="shared" si="5"/>
        <v>0.11208358920901325</v>
      </c>
      <c r="H77">
        <f t="shared" si="6"/>
        <v>0.10337464137405457</v>
      </c>
      <c r="I77">
        <f t="shared" si="7"/>
        <v>0.1317960851261368</v>
      </c>
    </row>
    <row r="78" spans="1:9" x14ac:dyDescent="0.2">
      <c r="A78">
        <v>5.8</v>
      </c>
      <c r="B78">
        <f t="shared" si="8"/>
        <v>12.974230493915533</v>
      </c>
      <c r="C78">
        <f t="shared" si="9"/>
        <v>8.0395996612005E-2</v>
      </c>
      <c r="D78">
        <f t="shared" si="2"/>
        <v>0.10937398192257609</v>
      </c>
      <c r="E78">
        <f t="shared" si="3"/>
        <v>6.3384092164429015E-2</v>
      </c>
      <c r="F78">
        <f t="shared" si="4"/>
        <v>8.9482400000000004E-2</v>
      </c>
      <c r="G78">
        <f t="shared" si="5"/>
        <v>0.11605084459806729</v>
      </c>
      <c r="H78">
        <f t="shared" si="6"/>
        <v>0.10703363914506606</v>
      </c>
      <c r="I78">
        <f t="shared" si="7"/>
        <v>0.13485508512613681</v>
      </c>
    </row>
    <row r="79" spans="1:9" x14ac:dyDescent="0.2">
      <c r="A79">
        <v>5.9</v>
      </c>
      <c r="B79">
        <f t="shared" si="8"/>
        <v>13.197924123120973</v>
      </c>
      <c r="C79">
        <f t="shared" si="9"/>
        <v>8.2681779082555765E-2</v>
      </c>
      <c r="D79">
        <f t="shared" si="2"/>
        <v>0.11317801161488923</v>
      </c>
      <c r="E79">
        <f t="shared" si="3"/>
        <v>6.4642714333779633E-2</v>
      </c>
      <c r="F79">
        <f t="shared" si="4"/>
        <v>9.2594600000000013E-2</v>
      </c>
      <c r="G79">
        <f t="shared" si="5"/>
        <v>0.12008709573301792</v>
      </c>
      <c r="H79">
        <f t="shared" si="6"/>
        <v>0.1107562716599212</v>
      </c>
      <c r="I79">
        <f t="shared" si="7"/>
        <v>0.13796728512613682</v>
      </c>
    </row>
    <row r="80" spans="1:9" x14ac:dyDescent="0.2">
      <c r="A80">
        <v>6</v>
      </c>
      <c r="B80">
        <f t="shared" si="8"/>
        <v>13.421617752326414</v>
      </c>
      <c r="C80">
        <f t="shared" si="9"/>
        <v>8.4992492266281874E-2</v>
      </c>
      <c r="D80">
        <f t="shared" si="2"/>
        <v>0.11704706745578893</v>
      </c>
      <c r="E80">
        <f t="shared" si="3"/>
        <v>6.591635871465279E-2</v>
      </c>
      <c r="F80">
        <f t="shared" si="4"/>
        <v>9.5760000000000012E-2</v>
      </c>
      <c r="G80">
        <f t="shared" si="5"/>
        <v>0.12419234261386509</v>
      </c>
      <c r="H80">
        <f t="shared" si="6"/>
        <v>0.11454253891862001</v>
      </c>
      <c r="I80">
        <f t="shared" si="7"/>
        <v>0.1411326851261368</v>
      </c>
    </row>
    <row r="81" spans="1:9" x14ac:dyDescent="0.2">
      <c r="A81">
        <v>6.1</v>
      </c>
      <c r="B81">
        <f t="shared" si="8"/>
        <v>13.645311381531855</v>
      </c>
      <c r="C81">
        <f t="shared" si="9"/>
        <v>8.7327985764169724E-2</v>
      </c>
      <c r="D81">
        <f t="shared" si="2"/>
        <v>0.12098114944527515</v>
      </c>
      <c r="E81">
        <f t="shared" si="3"/>
        <v>6.7204949749044382E-2</v>
      </c>
      <c r="F81">
        <f t="shared" si="4"/>
        <v>9.89786E-2</v>
      </c>
      <c r="G81">
        <f t="shared" si="5"/>
        <v>0.1283665852406089</v>
      </c>
      <c r="H81">
        <f t="shared" si="6"/>
        <v>0.11839244092116251</v>
      </c>
      <c r="I81">
        <f t="shared" si="7"/>
        <v>0.14435128512613679</v>
      </c>
    </row>
    <row r="82" spans="1:9" x14ac:dyDescent="0.2">
      <c r="A82">
        <v>6.2</v>
      </c>
      <c r="B82">
        <f t="shared" si="8"/>
        <v>13.869005010737293</v>
      </c>
      <c r="C82">
        <f t="shared" si="9"/>
        <v>8.9688112548528084E-2</v>
      </c>
      <c r="D82">
        <f t="shared" si="2"/>
        <v>0.12498025758334796</v>
      </c>
      <c r="E82">
        <f t="shared" si="3"/>
        <v>6.8508413498725801E-2</v>
      </c>
      <c r="F82">
        <f t="shared" si="4"/>
        <v>0.10225040000000002</v>
      </c>
      <c r="G82">
        <f t="shared" si="5"/>
        <v>0.1326098236132493</v>
      </c>
      <c r="H82">
        <f t="shared" si="6"/>
        <v>0.12230597766754872</v>
      </c>
      <c r="I82">
        <f t="shared" si="7"/>
        <v>0.14762308512613681</v>
      </c>
    </row>
    <row r="83" spans="1:9" x14ac:dyDescent="0.2">
      <c r="A83">
        <v>6.3</v>
      </c>
      <c r="B83">
        <f t="shared" si="8"/>
        <v>14.092698639942734</v>
      </c>
      <c r="C83">
        <f t="shared" si="9"/>
        <v>9.207272883396872E-2</v>
      </c>
      <c r="D83">
        <f t="shared" si="2"/>
        <v>0.12904439187000727</v>
      </c>
      <c r="E83">
        <f t="shared" si="3"/>
        <v>6.9826677584802072E-2</v>
      </c>
      <c r="F83">
        <f t="shared" si="4"/>
        <v>0.1055754</v>
      </c>
      <c r="G83">
        <f t="shared" si="5"/>
        <v>0.13692205773178628</v>
      </c>
      <c r="H83">
        <f t="shared" si="6"/>
        <v>0.12628314915777858</v>
      </c>
      <c r="I83">
        <f t="shared" si="7"/>
        <v>0.15094808512613681</v>
      </c>
    </row>
    <row r="84" spans="1:9" x14ac:dyDescent="0.2">
      <c r="A84">
        <v>6.4</v>
      </c>
      <c r="B84">
        <f t="shared" si="8"/>
        <v>14.316392269148176</v>
      </c>
      <c r="C84">
        <f t="shared" si="9"/>
        <v>9.4481693955305784E-2</v>
      </c>
      <c r="D84">
        <f t="shared" si="2"/>
        <v>0.13317355230525321</v>
      </c>
      <c r="E84">
        <f t="shared" si="3"/>
        <v>7.1159671130455099E-2</v>
      </c>
      <c r="F84">
        <f t="shared" si="4"/>
        <v>0.10895360000000003</v>
      </c>
      <c r="G84">
        <f t="shared" si="5"/>
        <v>0.14130328759621988</v>
      </c>
      <c r="H84">
        <f t="shared" si="6"/>
        <v>0.13032395539185213</v>
      </c>
      <c r="I84">
        <f t="shared" si="7"/>
        <v>0.15432628512613683</v>
      </c>
    </row>
    <row r="85" spans="1:9" x14ac:dyDescent="0.2">
      <c r="A85">
        <v>6.5</v>
      </c>
      <c r="B85">
        <f t="shared" ref="B85:B116" si="10">A85*100/2.54/12/5280*60*60</f>
        <v>14.540085898353613</v>
      </c>
      <c r="C85">
        <f t="shared" ref="C85:C116" si="11">(0.45*(A85^1.64))/100</f>
        <v>9.6914870251898003E-2</v>
      </c>
      <c r="D85">
        <f t="shared" si="2"/>
        <v>0.1373677388890856</v>
      </c>
      <c r="E85">
        <f t="shared" si="3"/>
        <v>7.2507324706655413E-2</v>
      </c>
      <c r="F85">
        <f t="shared" si="4"/>
        <v>0.112385</v>
      </c>
      <c r="G85">
        <f t="shared" si="5"/>
        <v>0.14575351320655</v>
      </c>
      <c r="H85">
        <f t="shared" si="6"/>
        <v>0.13442839636976933</v>
      </c>
      <c r="I85">
        <f t="shared" si="7"/>
        <v>0.1577576851261368</v>
      </c>
    </row>
    <row r="86" spans="1:9" x14ac:dyDescent="0.2">
      <c r="A86">
        <v>6.6</v>
      </c>
      <c r="B86">
        <f t="shared" si="10"/>
        <v>14.763779527559052</v>
      </c>
      <c r="C86">
        <f t="shared" si="11"/>
        <v>9.9372122958001727E-2</v>
      </c>
      <c r="D86">
        <f t="shared" ref="D86:D149" si="12">(0.31*(A86)^2*SQRT(660/600))/100</f>
        <v>0.14162695162150457</v>
      </c>
      <c r="E86">
        <f t="shared" ref="E86:E149" si="13">(2.07+0.215*(A86)^1.7)/100</f>
        <v>7.3869570280646404E-2</v>
      </c>
      <c r="F86">
        <f t="shared" ref="F86:F149" si="14">(0.266*(A86)^2)/100</f>
        <v>0.11586959999999999</v>
      </c>
      <c r="G86">
        <f t="shared" ref="G86:G149" si="15">(0.251*(A86)^2*($B$7/660)^(-0.5))/100</f>
        <v>0.15027273456277676</v>
      </c>
      <c r="H86">
        <f t="shared" ref="H86:H149" si="16">(0.251*(A86)^2*($B$8/660)^(-0.5))/100</f>
        <v>0.1385964720915302</v>
      </c>
      <c r="I86">
        <f t="shared" ref="I86:I149" si="17">(0.77*($B$17)^0.5*($B$18)+0.266*(A86)^2)/100</f>
        <v>0.16124228512613681</v>
      </c>
    </row>
    <row r="87" spans="1:9" x14ac:dyDescent="0.2">
      <c r="A87">
        <v>6.7</v>
      </c>
      <c r="B87">
        <f t="shared" si="10"/>
        <v>14.987473156764496</v>
      </c>
      <c r="C87">
        <f t="shared" si="11"/>
        <v>0.10185332009873353</v>
      </c>
      <c r="D87">
        <f t="shared" si="12"/>
        <v>0.14595119050251015</v>
      </c>
      <c r="E87">
        <f t="shared" si="13"/>
        <v>7.5246341167018199E-2</v>
      </c>
      <c r="F87">
        <f t="shared" si="14"/>
        <v>0.1194074</v>
      </c>
      <c r="G87">
        <f t="shared" si="15"/>
        <v>0.15486095166490013</v>
      </c>
      <c r="H87">
        <f t="shared" si="16"/>
        <v>0.14282818255713481</v>
      </c>
      <c r="I87">
        <f t="shared" si="17"/>
        <v>0.16478008512613682</v>
      </c>
    </row>
    <row r="88" spans="1:9" x14ac:dyDescent="0.2">
      <c r="A88">
        <v>6.8</v>
      </c>
      <c r="B88">
        <f t="shared" si="10"/>
        <v>15.211166785969938</v>
      </c>
      <c r="C88">
        <f t="shared" si="11"/>
        <v>0.10435833239127684</v>
      </c>
      <c r="D88">
        <f t="shared" si="12"/>
        <v>0.15034045553210221</v>
      </c>
      <c r="E88">
        <f t="shared" si="13"/>
        <v>7.6637571981204508E-2</v>
      </c>
      <c r="F88">
        <f t="shared" si="14"/>
        <v>0.12299839999999999</v>
      </c>
      <c r="G88">
        <f t="shared" si="15"/>
        <v>0.15951816451292003</v>
      </c>
      <c r="H88">
        <f t="shared" si="16"/>
        <v>0.14712352776658302</v>
      </c>
      <c r="I88">
        <f t="shared" si="17"/>
        <v>0.16837108512613683</v>
      </c>
    </row>
    <row r="89" spans="1:9" x14ac:dyDescent="0.2">
      <c r="A89">
        <v>6.9</v>
      </c>
      <c r="B89">
        <f t="shared" si="10"/>
        <v>15.434860415175374</v>
      </c>
      <c r="C89">
        <f t="shared" si="11"/>
        <v>0.10688703315099449</v>
      </c>
      <c r="D89">
        <f t="shared" si="12"/>
        <v>0.15479474671028087</v>
      </c>
      <c r="E89">
        <f t="shared" si="13"/>
        <v>7.8043198595248817E-2</v>
      </c>
      <c r="F89">
        <f t="shared" si="14"/>
        <v>0.12664260000000002</v>
      </c>
      <c r="G89">
        <f t="shared" si="15"/>
        <v>0.16424437310683665</v>
      </c>
      <c r="H89">
        <f t="shared" si="16"/>
        <v>0.15148250771987501</v>
      </c>
      <c r="I89">
        <f t="shared" si="17"/>
        <v>0.17201528512613684</v>
      </c>
    </row>
    <row r="90" spans="1:9" x14ac:dyDescent="0.2">
      <c r="A90">
        <v>7</v>
      </c>
      <c r="B90">
        <f t="shared" si="10"/>
        <v>15.658554044380811</v>
      </c>
      <c r="C90">
        <f t="shared" si="11"/>
        <v>0.10943929820213485</v>
      </c>
      <c r="D90">
        <f t="shared" si="12"/>
        <v>0.15931406403704604</v>
      </c>
      <c r="E90">
        <f t="shared" si="13"/>
        <v>7.946315809569697E-2</v>
      </c>
      <c r="F90">
        <f t="shared" si="14"/>
        <v>0.13034000000000001</v>
      </c>
      <c r="G90">
        <f t="shared" si="15"/>
        <v>0.16903957744664971</v>
      </c>
      <c r="H90">
        <f t="shared" si="16"/>
        <v>0.15590512241701057</v>
      </c>
      <c r="I90">
        <f t="shared" si="17"/>
        <v>0.1757126851261368</v>
      </c>
    </row>
    <row r="91" spans="1:9" x14ac:dyDescent="0.2">
      <c r="A91">
        <v>7.1</v>
      </c>
      <c r="B91">
        <f t="shared" si="10"/>
        <v>15.882247673586257</v>
      </c>
      <c r="C91">
        <f t="shared" si="11"/>
        <v>0.1120150057928451</v>
      </c>
      <c r="D91">
        <f t="shared" si="12"/>
        <v>0.16389840751239773</v>
      </c>
      <c r="E91">
        <f t="shared" si="13"/>
        <v>8.0897388743485343E-2</v>
      </c>
      <c r="F91">
        <f t="shared" si="14"/>
        <v>0.1340906</v>
      </c>
      <c r="G91">
        <f t="shared" si="15"/>
        <v>0.17390377753235942</v>
      </c>
      <c r="H91">
        <f t="shared" si="16"/>
        <v>0.16039137185798985</v>
      </c>
      <c r="I91">
        <f t="shared" si="17"/>
        <v>0.17946328512613682</v>
      </c>
    </row>
    <row r="92" spans="1:9" x14ac:dyDescent="0.2">
      <c r="A92">
        <v>7.2</v>
      </c>
      <c r="B92">
        <f t="shared" si="10"/>
        <v>16.105941302791699</v>
      </c>
      <c r="C92">
        <f t="shared" si="11"/>
        <v>0.11461403651422504</v>
      </c>
      <c r="D92">
        <f t="shared" si="12"/>
        <v>0.16854777713633604</v>
      </c>
      <c r="E92">
        <f t="shared" si="13"/>
        <v>8.2345829935702899E-2</v>
      </c>
      <c r="F92">
        <f t="shared" si="14"/>
        <v>0.1378944</v>
      </c>
      <c r="G92">
        <f t="shared" si="15"/>
        <v>0.17883697336396576</v>
      </c>
      <c r="H92">
        <f t="shared" si="16"/>
        <v>0.16494125604281284</v>
      </c>
      <c r="I92">
        <f t="shared" si="17"/>
        <v>0.18326708512613682</v>
      </c>
    </row>
    <row r="93" spans="1:9" x14ac:dyDescent="0.2">
      <c r="A93">
        <v>7.3</v>
      </c>
      <c r="B93">
        <f t="shared" si="10"/>
        <v>16.329634931997134</v>
      </c>
      <c r="C93">
        <f t="shared" si="11"/>
        <v>0.11723627322317645</v>
      </c>
      <c r="D93">
        <f t="shared" si="12"/>
        <v>0.1732621729088609</v>
      </c>
      <c r="E93">
        <f t="shared" si="13"/>
        <v>8.3808422169114924E-2</v>
      </c>
      <c r="F93">
        <f t="shared" si="14"/>
        <v>0.1417514</v>
      </c>
      <c r="G93">
        <f t="shared" si="15"/>
        <v>0.18383916494146868</v>
      </c>
      <c r="H93">
        <f t="shared" si="16"/>
        <v>0.16955477497147947</v>
      </c>
      <c r="I93">
        <f t="shared" si="17"/>
        <v>0.18712408512613682</v>
      </c>
    </row>
    <row r="94" spans="1:9" x14ac:dyDescent="0.2">
      <c r="A94">
        <v>7.4</v>
      </c>
      <c r="B94">
        <f t="shared" si="10"/>
        <v>16.553328561202573</v>
      </c>
      <c r="C94">
        <f t="shared" si="11"/>
        <v>0.11988160096881934</v>
      </c>
      <c r="D94">
        <f t="shared" si="12"/>
        <v>0.17804159482997226</v>
      </c>
      <c r="E94">
        <f t="shared" si="13"/>
        <v>8.5285107005343572E-2</v>
      </c>
      <c r="F94">
        <f t="shared" si="14"/>
        <v>0.14566160000000003</v>
      </c>
      <c r="G94">
        <f t="shared" si="15"/>
        <v>0.18891035226486819</v>
      </c>
      <c r="H94">
        <f t="shared" si="16"/>
        <v>0.17423192864398981</v>
      </c>
      <c r="I94">
        <f t="shared" si="17"/>
        <v>0.19103428512613682</v>
      </c>
    </row>
    <row r="95" spans="1:9" x14ac:dyDescent="0.2">
      <c r="A95">
        <v>7.5</v>
      </c>
      <c r="B95">
        <f t="shared" si="10"/>
        <v>16.777022190408019</v>
      </c>
      <c r="C95">
        <f t="shared" si="11"/>
        <v>0.12254990692226453</v>
      </c>
      <c r="D95">
        <f t="shared" si="12"/>
        <v>0.1828860428996702</v>
      </c>
      <c r="E95">
        <f t="shared" si="13"/>
        <v>8.6775827037609152E-2</v>
      </c>
      <c r="F95">
        <f t="shared" si="14"/>
        <v>0.14962500000000001</v>
      </c>
      <c r="G95">
        <f t="shared" si="15"/>
        <v>0.19405053533416425</v>
      </c>
      <c r="H95">
        <f t="shared" si="16"/>
        <v>0.17897271706034379</v>
      </c>
      <c r="I95">
        <f t="shared" si="17"/>
        <v>0.1949976851261368</v>
      </c>
    </row>
    <row r="96" spans="1:9" x14ac:dyDescent="0.2">
      <c r="A96">
        <v>7.6</v>
      </c>
      <c r="B96">
        <f t="shared" si="10"/>
        <v>17.000715819613461</v>
      </c>
      <c r="C96">
        <f t="shared" si="11"/>
        <v>0.12524108030954698</v>
      </c>
      <c r="D96">
        <f t="shared" si="12"/>
        <v>0.18779551711795467</v>
      </c>
      <c r="E96">
        <f t="shared" si="13"/>
        <v>8.8280525858942027E-2</v>
      </c>
      <c r="F96">
        <f t="shared" si="14"/>
        <v>0.15364159999999999</v>
      </c>
      <c r="G96">
        <f t="shared" si="15"/>
        <v>0.19925971414935692</v>
      </c>
      <c r="H96">
        <f t="shared" si="16"/>
        <v>0.18377714022054145</v>
      </c>
      <c r="I96">
        <f t="shared" si="17"/>
        <v>0.19901428512613681</v>
      </c>
    </row>
    <row r="97" spans="1:9" x14ac:dyDescent="0.2">
      <c r="A97">
        <v>7.7</v>
      </c>
      <c r="B97">
        <f t="shared" si="10"/>
        <v>17.224409448818896</v>
      </c>
      <c r="C97">
        <f t="shared" si="11"/>
        <v>0.12795501234753615</v>
      </c>
      <c r="D97">
        <f t="shared" si="12"/>
        <v>0.19277001748482572</v>
      </c>
      <c r="E97">
        <f t="shared" si="13"/>
        <v>8.9799148031780865E-2</v>
      </c>
      <c r="F97">
        <f t="shared" si="14"/>
        <v>0.15771140000000003</v>
      </c>
      <c r="G97">
        <f t="shared" si="15"/>
        <v>0.2045378887104462</v>
      </c>
      <c r="H97">
        <f t="shared" si="16"/>
        <v>0.18864519812458283</v>
      </c>
      <c r="I97">
        <f t="shared" si="17"/>
        <v>0.20308408512613682</v>
      </c>
    </row>
    <row r="98" spans="1:9" x14ac:dyDescent="0.2">
      <c r="A98">
        <v>7.8</v>
      </c>
      <c r="B98">
        <f t="shared" si="10"/>
        <v>17.448103078024335</v>
      </c>
      <c r="C98">
        <f t="shared" si="11"/>
        <v>0.13069159618265602</v>
      </c>
      <c r="D98">
        <f t="shared" si="12"/>
        <v>0.19780954400028325</v>
      </c>
      <c r="E98">
        <f t="shared" si="13"/>
        <v>9.1331639058880504E-2</v>
      </c>
      <c r="F98">
        <f t="shared" si="14"/>
        <v>0.16183440000000002</v>
      </c>
      <c r="G98">
        <f t="shared" si="15"/>
        <v>0.20988505901743204</v>
      </c>
      <c r="H98">
        <f t="shared" si="16"/>
        <v>0.19357689077246781</v>
      </c>
      <c r="I98">
        <f t="shared" si="17"/>
        <v>0.20720708512613684</v>
      </c>
    </row>
    <row r="99" spans="1:9" x14ac:dyDescent="0.2">
      <c r="A99">
        <v>7.9</v>
      </c>
      <c r="B99">
        <f t="shared" si="10"/>
        <v>17.671796707229777</v>
      </c>
      <c r="C99">
        <f t="shared" si="11"/>
        <v>0.13345072683225603</v>
      </c>
      <c r="D99">
        <f t="shared" si="12"/>
        <v>0.20291409666432741</v>
      </c>
      <c r="E99">
        <f t="shared" si="13"/>
        <v>9.2877945355456223E-2</v>
      </c>
      <c r="F99">
        <f t="shared" si="14"/>
        <v>0.16601060000000001</v>
      </c>
      <c r="G99">
        <f t="shared" si="15"/>
        <v>0.21530122507031449</v>
      </c>
      <c r="H99">
        <f t="shared" si="16"/>
        <v>0.19857221816419657</v>
      </c>
      <c r="I99">
        <f t="shared" si="17"/>
        <v>0.21138328512613683</v>
      </c>
    </row>
    <row r="100" spans="1:9" x14ac:dyDescent="0.2">
      <c r="A100">
        <v>8</v>
      </c>
      <c r="B100">
        <f t="shared" si="10"/>
        <v>17.89549033643522</v>
      </c>
      <c r="C100">
        <f t="shared" si="11"/>
        <v>0.13623230112848575</v>
      </c>
      <c r="D100">
        <f t="shared" si="12"/>
        <v>0.20808367547695808</v>
      </c>
      <c r="E100">
        <f t="shared" si="13"/>
        <v>9.4438014222496938E-2</v>
      </c>
      <c r="F100">
        <f t="shared" si="14"/>
        <v>0.17024</v>
      </c>
      <c r="G100">
        <f t="shared" si="15"/>
        <v>0.22078638686909355</v>
      </c>
      <c r="H100">
        <f t="shared" si="16"/>
        <v>0.20363118029976893</v>
      </c>
      <c r="I100">
        <f t="shared" si="17"/>
        <v>0.21561268512613679</v>
      </c>
    </row>
    <row r="101" spans="1:9" x14ac:dyDescent="0.2">
      <c r="A101">
        <v>8.1</v>
      </c>
      <c r="B101">
        <f t="shared" si="10"/>
        <v>18.119183965640659</v>
      </c>
      <c r="C101">
        <f t="shared" si="11"/>
        <v>0.13903621766453747</v>
      </c>
      <c r="D101">
        <f t="shared" si="12"/>
        <v>0.2133182804381753</v>
      </c>
      <c r="E101">
        <f t="shared" si="13"/>
        <v>9.6011793821184438E-2</v>
      </c>
      <c r="F101">
        <f t="shared" si="14"/>
        <v>0.17452260000000003</v>
      </c>
      <c r="G101">
        <f t="shared" si="15"/>
        <v>0.22634054441376913</v>
      </c>
      <c r="H101">
        <f t="shared" si="16"/>
        <v>0.20875377717918497</v>
      </c>
      <c r="I101">
        <f t="shared" si="17"/>
        <v>0.21989528512613682</v>
      </c>
    </row>
    <row r="102" spans="1:9" x14ac:dyDescent="0.2">
      <c r="A102">
        <v>8.1999999999999993</v>
      </c>
      <c r="B102">
        <f t="shared" si="10"/>
        <v>18.342877594846094</v>
      </c>
      <c r="C102">
        <f t="shared" si="11"/>
        <v>0.14186237674312635</v>
      </c>
      <c r="D102">
        <f t="shared" si="12"/>
        <v>0.21861791154797905</v>
      </c>
      <c r="E102">
        <f t="shared" si="13"/>
        <v>9.759923314835893E-2</v>
      </c>
      <c r="F102">
        <f t="shared" si="14"/>
        <v>0.17885839999999997</v>
      </c>
      <c r="G102">
        <f t="shared" si="15"/>
        <v>0.23196369770434139</v>
      </c>
      <c r="H102">
        <f t="shared" si="16"/>
        <v>0.21394000880244474</v>
      </c>
      <c r="I102">
        <f t="shared" si="17"/>
        <v>0.22423108512613679</v>
      </c>
    </row>
    <row r="103" spans="1:9" x14ac:dyDescent="0.2">
      <c r="A103">
        <v>8.3000000000000007</v>
      </c>
      <c r="B103">
        <f t="shared" si="10"/>
        <v>18.566571224051543</v>
      </c>
      <c r="C103">
        <f t="shared" si="11"/>
        <v>0.14471068032709247</v>
      </c>
      <c r="D103">
        <f t="shared" si="12"/>
        <v>0.22398256880636946</v>
      </c>
      <c r="E103">
        <f t="shared" si="13"/>
        <v>9.9200282012977065E-2</v>
      </c>
      <c r="F103">
        <f t="shared" si="14"/>
        <v>0.18324740000000006</v>
      </c>
      <c r="G103">
        <f t="shared" si="15"/>
        <v>0.23765584674081025</v>
      </c>
      <c r="H103">
        <f t="shared" si="16"/>
        <v>0.21918987516954819</v>
      </c>
      <c r="I103">
        <f t="shared" si="17"/>
        <v>0.22862008512613685</v>
      </c>
    </row>
    <row r="104" spans="1:9" x14ac:dyDescent="0.2">
      <c r="A104">
        <v>8.4</v>
      </c>
      <c r="B104">
        <f t="shared" si="10"/>
        <v>18.790264853256982</v>
      </c>
      <c r="C104">
        <f t="shared" si="11"/>
        <v>0.14758103199200812</v>
      </c>
      <c r="D104">
        <f t="shared" si="12"/>
        <v>0.2294122522133463</v>
      </c>
      <c r="E104">
        <f t="shared" si="13"/>
        <v>0.10081489101350952</v>
      </c>
      <c r="F104">
        <f t="shared" si="14"/>
        <v>0.18768960000000001</v>
      </c>
      <c r="G104">
        <f t="shared" si="15"/>
        <v>0.24341699152317564</v>
      </c>
      <c r="H104">
        <f t="shared" si="16"/>
        <v>0.22450337628049524</v>
      </c>
      <c r="I104">
        <f t="shared" si="17"/>
        <v>0.23306228512613678</v>
      </c>
    </row>
    <row r="105" spans="1:9" x14ac:dyDescent="0.2">
      <c r="A105">
        <v>8.5</v>
      </c>
      <c r="B105">
        <f t="shared" si="10"/>
        <v>19.013958482462421</v>
      </c>
      <c r="C105">
        <f t="shared" si="11"/>
        <v>0.15047333688069059</v>
      </c>
      <c r="D105">
        <f t="shared" si="12"/>
        <v>0.23490696176890971</v>
      </c>
      <c r="E105">
        <f t="shared" si="13"/>
        <v>0.10244301151623071</v>
      </c>
      <c r="F105">
        <f t="shared" si="14"/>
        <v>0.19218500000000002</v>
      </c>
      <c r="G105">
        <f t="shared" si="15"/>
        <v>0.24924713205143761</v>
      </c>
      <c r="H105">
        <f t="shared" si="16"/>
        <v>0.22988051213528604</v>
      </c>
      <c r="I105">
        <f t="shared" si="17"/>
        <v>0.23755768512613684</v>
      </c>
    </row>
    <row r="106" spans="1:9" x14ac:dyDescent="0.2">
      <c r="A106">
        <v>8.6</v>
      </c>
      <c r="B106">
        <f t="shared" si="10"/>
        <v>19.237652111667856</v>
      </c>
      <c r="C106">
        <f t="shared" si="11"/>
        <v>0.15338750165951856</v>
      </c>
      <c r="D106">
        <f t="shared" si="12"/>
        <v>0.24046669747305965</v>
      </c>
      <c r="E106">
        <f t="shared" si="13"/>
        <v>0.10408459563435465</v>
      </c>
      <c r="F106">
        <f t="shared" si="14"/>
        <v>0.19673359999999998</v>
      </c>
      <c r="G106">
        <f t="shared" si="15"/>
        <v>0.25514626832559617</v>
      </c>
      <c r="H106">
        <f t="shared" si="16"/>
        <v>0.23532128273392044</v>
      </c>
      <c r="I106">
        <f t="shared" si="17"/>
        <v>0.2421062851261368</v>
      </c>
    </row>
    <row r="107" spans="1:9" x14ac:dyDescent="0.2">
      <c r="A107">
        <v>8.6999999999999993</v>
      </c>
      <c r="B107">
        <f t="shared" si="10"/>
        <v>19.461345740873295</v>
      </c>
      <c r="C107">
        <f t="shared" si="11"/>
        <v>0.15632343447646233</v>
      </c>
      <c r="D107">
        <f t="shared" si="12"/>
        <v>0.24609145932579615</v>
      </c>
      <c r="E107">
        <f t="shared" si="13"/>
        <v>0.10573959620797523</v>
      </c>
      <c r="F107">
        <f t="shared" si="14"/>
        <v>0.20133539999999997</v>
      </c>
      <c r="G107">
        <f t="shared" si="15"/>
        <v>0.26111440034565137</v>
      </c>
      <c r="H107">
        <f t="shared" si="16"/>
        <v>0.24082568807639856</v>
      </c>
      <c r="I107">
        <f t="shared" si="17"/>
        <v>0.24670808512613676</v>
      </c>
    </row>
    <row r="108" spans="1:9" x14ac:dyDescent="0.2">
      <c r="A108">
        <v>8.8000000000000007</v>
      </c>
      <c r="B108">
        <f t="shared" si="10"/>
        <v>19.685039370078741</v>
      </c>
      <c r="C108">
        <f t="shared" si="11"/>
        <v>0.15928104492074141</v>
      </c>
      <c r="D108">
        <f t="shared" si="12"/>
        <v>0.25178124732711932</v>
      </c>
      <c r="E108">
        <f t="shared" si="13"/>
        <v>0.10740796678477001</v>
      </c>
      <c r="F108">
        <f t="shared" si="14"/>
        <v>0.20599040000000005</v>
      </c>
      <c r="G108">
        <f t="shared" si="15"/>
        <v>0.2671515281116032</v>
      </c>
      <c r="H108">
        <f t="shared" si="16"/>
        <v>0.24639372816272043</v>
      </c>
      <c r="I108">
        <f t="shared" si="17"/>
        <v>0.25136308512613686</v>
      </c>
    </row>
    <row r="109" spans="1:9" x14ac:dyDescent="0.2">
      <c r="A109">
        <v>8.9</v>
      </c>
      <c r="B109">
        <f t="shared" si="10"/>
        <v>19.908732999284179</v>
      </c>
      <c r="C109">
        <f t="shared" si="11"/>
        <v>0.16226024398402733</v>
      </c>
      <c r="D109">
        <f t="shared" si="12"/>
        <v>0.25753606147702895</v>
      </c>
      <c r="E109">
        <f t="shared" si="13"/>
        <v>0.10908966160143092</v>
      </c>
      <c r="F109">
        <f t="shared" si="14"/>
        <v>0.21069860000000001</v>
      </c>
      <c r="G109">
        <f t="shared" si="15"/>
        <v>0.27325765162345156</v>
      </c>
      <c r="H109">
        <f t="shared" si="16"/>
        <v>0.25202540299288589</v>
      </c>
      <c r="I109">
        <f t="shared" si="17"/>
        <v>0.25607128512613686</v>
      </c>
    </row>
    <row r="110" spans="1:9" x14ac:dyDescent="0.2">
      <c r="A110">
        <v>9</v>
      </c>
      <c r="B110">
        <f t="shared" si="10"/>
        <v>20.132426628489618</v>
      </c>
      <c r="C110">
        <f t="shared" si="11"/>
        <v>0.16526094402311819</v>
      </c>
      <c r="D110">
        <f t="shared" si="12"/>
        <v>0.26335590177552509</v>
      </c>
      <c r="E110">
        <f t="shared" si="13"/>
        <v>0.11078463556578665</v>
      </c>
      <c r="F110">
        <f t="shared" si="14"/>
        <v>0.21545999999999998</v>
      </c>
      <c r="G110">
        <f t="shared" si="15"/>
        <v>0.2794327708811965</v>
      </c>
      <c r="H110">
        <f t="shared" si="16"/>
        <v>0.25772071256689505</v>
      </c>
      <c r="I110">
        <f t="shared" si="17"/>
        <v>0.26083268512613678</v>
      </c>
    </row>
    <row r="111" spans="1:9" x14ac:dyDescent="0.2">
      <c r="A111">
        <v>9.1</v>
      </c>
      <c r="B111">
        <f t="shared" si="10"/>
        <v>20.356120257695061</v>
      </c>
      <c r="C111">
        <f t="shared" si="11"/>
        <v>0.16828305872400995</v>
      </c>
      <c r="D111">
        <f t="shared" si="12"/>
        <v>0.26924076822260778</v>
      </c>
      <c r="E111">
        <f t="shared" si="13"/>
        <v>0.11249284423958215</v>
      </c>
      <c r="F111">
        <f t="shared" si="14"/>
        <v>0.22027459999999999</v>
      </c>
      <c r="G111">
        <f t="shared" si="15"/>
        <v>0.28567688588483797</v>
      </c>
      <c r="H111">
        <f t="shared" si="16"/>
        <v>0.26347965688474784</v>
      </c>
      <c r="I111">
        <f t="shared" si="17"/>
        <v>0.26564728512613678</v>
      </c>
    </row>
    <row r="112" spans="1:9" x14ac:dyDescent="0.2">
      <c r="A112">
        <v>9.1999999999999993</v>
      </c>
      <c r="B112">
        <f t="shared" si="10"/>
        <v>20.579813886900499</v>
      </c>
      <c r="C112">
        <f t="shared" si="11"/>
        <v>0.17132650306730132</v>
      </c>
      <c r="D112">
        <f t="shared" si="12"/>
        <v>0.27519066081827703</v>
      </c>
      <c r="E112">
        <f t="shared" si="13"/>
        <v>0.11421424382188652</v>
      </c>
      <c r="F112">
        <f t="shared" si="14"/>
        <v>0.22514239999999996</v>
      </c>
      <c r="G112">
        <f t="shared" si="15"/>
        <v>0.29198999663437614</v>
      </c>
      <c r="H112">
        <f t="shared" si="16"/>
        <v>0.26930223594644437</v>
      </c>
      <c r="I112">
        <f t="shared" si="17"/>
        <v>0.27051508512613681</v>
      </c>
    </row>
    <row r="113" spans="1:9" x14ac:dyDescent="0.2">
      <c r="A113">
        <v>9.3000000000000007</v>
      </c>
      <c r="B113">
        <f t="shared" si="10"/>
        <v>20.803507516105942</v>
      </c>
      <c r="C113">
        <f t="shared" si="11"/>
        <v>0.17439119329486427</v>
      </c>
      <c r="D113">
        <f t="shared" si="12"/>
        <v>0.28120557956253289</v>
      </c>
      <c r="E113">
        <f t="shared" si="13"/>
        <v>0.11594879113309688</v>
      </c>
      <c r="F113">
        <f t="shared" si="14"/>
        <v>0.23006340000000006</v>
      </c>
      <c r="G113">
        <f t="shared" si="15"/>
        <v>0.29837210312981094</v>
      </c>
      <c r="H113">
        <f t="shared" si="16"/>
        <v>0.27518844975198464</v>
      </c>
      <c r="I113">
        <f t="shared" si="17"/>
        <v>0.27543608512613688</v>
      </c>
    </row>
    <row r="114" spans="1:9" x14ac:dyDescent="0.2">
      <c r="A114">
        <v>9.4</v>
      </c>
      <c r="B114">
        <f t="shared" si="10"/>
        <v>21.027201145311381</v>
      </c>
      <c r="C114">
        <f t="shared" si="11"/>
        <v>0.17747704687772481</v>
      </c>
      <c r="D114">
        <f t="shared" si="12"/>
        <v>0.28728552445537531</v>
      </c>
      <c r="E114">
        <f t="shared" si="13"/>
        <v>0.11769644359951321</v>
      </c>
      <c r="F114">
        <f t="shared" si="14"/>
        <v>0.23503760000000004</v>
      </c>
      <c r="G114">
        <f t="shared" si="15"/>
        <v>0.30482320537114233</v>
      </c>
      <c r="H114">
        <f t="shared" si="16"/>
        <v>0.28113829830136855</v>
      </c>
      <c r="I114">
        <f t="shared" si="17"/>
        <v>0.28041028512613686</v>
      </c>
    </row>
    <row r="115" spans="1:9" x14ac:dyDescent="0.2">
      <c r="A115">
        <v>9.5</v>
      </c>
      <c r="B115">
        <f t="shared" si="10"/>
        <v>21.250894774516823</v>
      </c>
      <c r="C115">
        <f t="shared" si="11"/>
        <v>0.18058398248509544</v>
      </c>
      <c r="D115">
        <f t="shared" si="12"/>
        <v>0.29343049549680417</v>
      </c>
      <c r="E115">
        <f t="shared" si="13"/>
        <v>0.11945715923845639</v>
      </c>
      <c r="F115">
        <f t="shared" si="14"/>
        <v>0.24006500000000003</v>
      </c>
      <c r="G115">
        <f t="shared" si="15"/>
        <v>0.31134330335837018</v>
      </c>
      <c r="H115">
        <f t="shared" si="16"/>
        <v>0.28715178159459603</v>
      </c>
      <c r="I115">
        <f t="shared" si="17"/>
        <v>0.28543768512613682</v>
      </c>
    </row>
    <row r="116" spans="1:9" x14ac:dyDescent="0.2">
      <c r="A116">
        <v>9.6</v>
      </c>
      <c r="B116">
        <f t="shared" si="10"/>
        <v>21.474588403722265</v>
      </c>
      <c r="C116">
        <f t="shared" si="11"/>
        <v>0.18371191995450625</v>
      </c>
      <c r="D116">
        <f t="shared" si="12"/>
        <v>0.29964049268681964</v>
      </c>
      <c r="E116">
        <f t="shared" si="13"/>
        <v>0.12123089664390495</v>
      </c>
      <c r="F116">
        <f t="shared" si="14"/>
        <v>0.24514559999999999</v>
      </c>
      <c r="G116">
        <f t="shared" si="15"/>
        <v>0.31793239709149468</v>
      </c>
      <c r="H116">
        <f t="shared" si="16"/>
        <v>0.29322889963166721</v>
      </c>
      <c r="I116">
        <f t="shared" si="17"/>
        <v>0.29051828512613681</v>
      </c>
    </row>
    <row r="117" spans="1:9" x14ac:dyDescent="0.2">
      <c r="A117">
        <v>9.6999999999999993</v>
      </c>
      <c r="B117">
        <f t="shared" ref="B117:B148" si="18">A117*100/2.54/12/5280*60*60</f>
        <v>21.6982820329277</v>
      </c>
      <c r="C117">
        <f t="shared" ref="C117:C148" si="19">(0.45*(A117^1.64))/100</f>
        <v>0.18686078026298578</v>
      </c>
      <c r="D117">
        <f t="shared" si="12"/>
        <v>0.30591551602542161</v>
      </c>
      <c r="E117">
        <f t="shared" si="13"/>
        <v>0.12301761497262791</v>
      </c>
      <c r="F117">
        <f t="shared" si="14"/>
        <v>0.25027939999999999</v>
      </c>
      <c r="G117">
        <f t="shared" si="15"/>
        <v>0.32459048657051576</v>
      </c>
      <c r="H117">
        <f t="shared" si="16"/>
        <v>0.29936965241258212</v>
      </c>
      <c r="I117">
        <f t="shared" si="17"/>
        <v>0.29565208512613678</v>
      </c>
    </row>
    <row r="118" spans="1:9" x14ac:dyDescent="0.2">
      <c r="A118">
        <v>9.8000000000000007</v>
      </c>
      <c r="B118">
        <f t="shared" si="18"/>
        <v>21.921975662133143</v>
      </c>
      <c r="C118">
        <f t="shared" si="19"/>
        <v>0.19003048549924287</v>
      </c>
      <c r="D118">
        <f t="shared" si="12"/>
        <v>0.3122555655126103</v>
      </c>
      <c r="E118">
        <f t="shared" si="13"/>
        <v>0.12481727393079059</v>
      </c>
      <c r="F118">
        <f t="shared" si="14"/>
        <v>0.25546640000000009</v>
      </c>
      <c r="G118">
        <f t="shared" si="15"/>
        <v>0.33131757179543347</v>
      </c>
      <c r="H118">
        <f t="shared" si="16"/>
        <v>0.30557403993734078</v>
      </c>
      <c r="I118">
        <f t="shared" si="17"/>
        <v>0.30083908512613688</v>
      </c>
    </row>
    <row r="119" spans="1:9" x14ac:dyDescent="0.2">
      <c r="A119">
        <v>9.9</v>
      </c>
      <c r="B119">
        <f t="shared" si="18"/>
        <v>22.145669291338582</v>
      </c>
      <c r="C119">
        <f t="shared" si="19"/>
        <v>0.19322095883680532</v>
      </c>
      <c r="D119">
        <f t="shared" si="12"/>
        <v>0.31866064114838538</v>
      </c>
      <c r="E119">
        <f t="shared" si="13"/>
        <v>0.12662983376101331</v>
      </c>
      <c r="F119">
        <f t="shared" si="14"/>
        <v>0.26070660000000001</v>
      </c>
      <c r="G119">
        <f t="shared" si="15"/>
        <v>0.33811365276624777</v>
      </c>
      <c r="H119">
        <f t="shared" si="16"/>
        <v>0.31184206220594302</v>
      </c>
      <c r="I119">
        <f t="shared" si="17"/>
        <v>0.3060792851261368</v>
      </c>
    </row>
    <row r="120" spans="1:9" x14ac:dyDescent="0.2">
      <c r="A120">
        <v>10</v>
      </c>
      <c r="B120">
        <f t="shared" si="18"/>
        <v>22.369362920544024</v>
      </c>
      <c r="C120">
        <f t="shared" si="19"/>
        <v>0.19643212450807476</v>
      </c>
      <c r="D120">
        <f t="shared" si="12"/>
        <v>0.32513074293274696</v>
      </c>
      <c r="E120">
        <f t="shared" si="13"/>
        <v>0.12845525522986356</v>
      </c>
      <c r="F120">
        <f t="shared" si="14"/>
        <v>0.26600000000000001</v>
      </c>
      <c r="G120">
        <f t="shared" si="15"/>
        <v>0.34497872948295866</v>
      </c>
      <c r="H120">
        <f t="shared" si="16"/>
        <v>0.318173719218389</v>
      </c>
      <c r="I120">
        <f t="shared" si="17"/>
        <v>0.31137268512613681</v>
      </c>
    </row>
    <row r="121" spans="1:9" x14ac:dyDescent="0.2">
      <c r="A121">
        <v>10.1</v>
      </c>
      <c r="B121">
        <f t="shared" si="18"/>
        <v>22.593056549749463</v>
      </c>
      <c r="C121">
        <f t="shared" si="19"/>
        <v>0.19966390777925405</v>
      </c>
      <c r="D121">
        <f t="shared" si="12"/>
        <v>0.33166587086569521</v>
      </c>
      <c r="E121">
        <f t="shared" si="13"/>
        <v>0.13029349961576153</v>
      </c>
      <c r="F121">
        <f t="shared" si="14"/>
        <v>0.27134659999999999</v>
      </c>
      <c r="G121">
        <f t="shared" si="15"/>
        <v>0.35191280194556607</v>
      </c>
      <c r="H121">
        <f t="shared" si="16"/>
        <v>0.32456901097467855</v>
      </c>
      <c r="I121">
        <f t="shared" si="17"/>
        <v>0.31671928512613684</v>
      </c>
    </row>
    <row r="122" spans="1:9" x14ac:dyDescent="0.2">
      <c r="A122">
        <v>10.199999999999999</v>
      </c>
      <c r="B122">
        <f t="shared" si="18"/>
        <v>22.816750178954898</v>
      </c>
      <c r="C122">
        <f t="shared" si="19"/>
        <v>0.20291623492611366</v>
      </c>
      <c r="D122">
        <f t="shared" si="12"/>
        <v>0.3382660249472299</v>
      </c>
      <c r="E122">
        <f t="shared" si="13"/>
        <v>0.13214452869728296</v>
      </c>
      <c r="F122">
        <f t="shared" si="14"/>
        <v>0.2767464</v>
      </c>
      <c r="G122">
        <f t="shared" si="15"/>
        <v>0.35891587015407012</v>
      </c>
      <c r="H122">
        <f t="shared" si="16"/>
        <v>0.33102793747481185</v>
      </c>
      <c r="I122">
        <f t="shared" si="17"/>
        <v>0.32211908512613685</v>
      </c>
    </row>
    <row r="123" spans="1:9" x14ac:dyDescent="0.2">
      <c r="A123">
        <v>10.3</v>
      </c>
      <c r="B123">
        <f t="shared" si="18"/>
        <v>23.040443808160344</v>
      </c>
      <c r="C123">
        <f t="shared" si="19"/>
        <v>0.20618903321055682</v>
      </c>
      <c r="D123">
        <f t="shared" si="12"/>
        <v>0.34493120517735126</v>
      </c>
      <c r="E123">
        <f t="shared" si="13"/>
        <v>0.13400830474184117</v>
      </c>
      <c r="F123">
        <f t="shared" si="14"/>
        <v>0.28219940000000004</v>
      </c>
      <c r="G123">
        <f t="shared" si="15"/>
        <v>0.36598793410847091</v>
      </c>
      <c r="H123">
        <f t="shared" si="16"/>
        <v>0.33755049871878889</v>
      </c>
      <c r="I123">
        <f t="shared" si="17"/>
        <v>0.32757208512613689</v>
      </c>
    </row>
    <row r="124" spans="1:9" x14ac:dyDescent="0.2">
      <c r="A124">
        <v>10.4</v>
      </c>
      <c r="B124">
        <f t="shared" si="18"/>
        <v>23.264137437365786</v>
      </c>
      <c r="C124">
        <f t="shared" si="19"/>
        <v>0.20948223085795317</v>
      </c>
      <c r="D124">
        <f t="shared" si="12"/>
        <v>0.35166141155605923</v>
      </c>
      <c r="E124">
        <f t="shared" si="13"/>
        <v>0.13588479049473356</v>
      </c>
      <c r="F124">
        <f t="shared" si="14"/>
        <v>0.28770560000000001</v>
      </c>
      <c r="G124">
        <f t="shared" si="15"/>
        <v>0.37312899380876813</v>
      </c>
      <c r="H124">
        <f t="shared" si="16"/>
        <v>0.34413669470660957</v>
      </c>
      <c r="I124">
        <f t="shared" si="17"/>
        <v>0.3330782851261368</v>
      </c>
    </row>
    <row r="125" spans="1:9" x14ac:dyDescent="0.2">
      <c r="A125">
        <v>10.5</v>
      </c>
      <c r="B125">
        <f t="shared" si="18"/>
        <v>23.487831066571221</v>
      </c>
      <c r="C125">
        <f t="shared" si="19"/>
        <v>0.21279575703520601</v>
      </c>
      <c r="D125">
        <f t="shared" si="12"/>
        <v>0.35845664408335359</v>
      </c>
      <c r="E125">
        <f t="shared" si="13"/>
        <v>0.13777394916853627</v>
      </c>
      <c r="F125">
        <f t="shared" si="14"/>
        <v>0.29326500000000005</v>
      </c>
      <c r="G125">
        <f t="shared" si="15"/>
        <v>0.38033904925496187</v>
      </c>
      <c r="H125">
        <f t="shared" si="16"/>
        <v>0.35078652543827382</v>
      </c>
      <c r="I125">
        <f t="shared" si="17"/>
        <v>0.33863768512613679</v>
      </c>
    </row>
    <row r="126" spans="1:9" x14ac:dyDescent="0.2">
      <c r="A126">
        <v>10.6</v>
      </c>
      <c r="B126">
        <f t="shared" si="18"/>
        <v>23.711524695776664</v>
      </c>
      <c r="C126">
        <f t="shared" si="19"/>
        <v>0.21612954182952493</v>
      </c>
      <c r="D126">
        <f t="shared" si="12"/>
        <v>0.36531690275923451</v>
      </c>
      <c r="E126">
        <f t="shared" si="13"/>
        <v>0.13967574443283415</v>
      </c>
      <c r="F126">
        <f t="shared" si="14"/>
        <v>0.29887760000000002</v>
      </c>
      <c r="G126">
        <f t="shared" si="15"/>
        <v>0.38761810044705231</v>
      </c>
      <c r="H126">
        <f t="shared" si="16"/>
        <v>0.35749999091378176</v>
      </c>
      <c r="I126">
        <f t="shared" si="17"/>
        <v>0.34425028512613681</v>
      </c>
    </row>
    <row r="127" spans="1:9" x14ac:dyDescent="0.2">
      <c r="A127">
        <v>10.7</v>
      </c>
      <c r="B127">
        <f t="shared" si="18"/>
        <v>23.935218324982102</v>
      </c>
      <c r="C127">
        <f t="shared" si="19"/>
        <v>0.21948351622787152</v>
      </c>
      <c r="D127">
        <f t="shared" si="12"/>
        <v>0.37224218758370198</v>
      </c>
      <c r="E127">
        <f t="shared" si="13"/>
        <v>0.14159014040427026</v>
      </c>
      <c r="F127">
        <f t="shared" si="14"/>
        <v>0.30454339999999996</v>
      </c>
      <c r="G127">
        <f t="shared" si="15"/>
        <v>0.39496614738503927</v>
      </c>
      <c r="H127">
        <f t="shared" si="16"/>
        <v>0.36427709113313339</v>
      </c>
      <c r="I127">
        <f t="shared" si="17"/>
        <v>0.34991608512613676</v>
      </c>
    </row>
    <row r="128" spans="1:9" x14ac:dyDescent="0.2">
      <c r="A128">
        <v>10.8</v>
      </c>
      <c r="B128">
        <f t="shared" si="18"/>
        <v>24.158911954187545</v>
      </c>
      <c r="C128">
        <f t="shared" si="19"/>
        <v>0.22285761209705457</v>
      </c>
      <c r="D128">
        <f t="shared" si="12"/>
        <v>0.37923249855675623</v>
      </c>
      <c r="E128">
        <f t="shared" si="13"/>
        <v>0.14351710163690476</v>
      </c>
      <c r="F128">
        <f t="shared" si="14"/>
        <v>0.31026240000000005</v>
      </c>
      <c r="G128">
        <f t="shared" si="15"/>
        <v>0.40238319006892304</v>
      </c>
      <c r="H128">
        <f t="shared" si="16"/>
        <v>0.37111782609632887</v>
      </c>
      <c r="I128">
        <f t="shared" si="17"/>
        <v>0.3556350851261369</v>
      </c>
    </row>
    <row r="129" spans="1:9" x14ac:dyDescent="0.2">
      <c r="A129">
        <v>10.9</v>
      </c>
      <c r="B129">
        <f t="shared" si="18"/>
        <v>24.38260558339298</v>
      </c>
      <c r="C129">
        <f t="shared" si="19"/>
        <v>0.2262517621644444</v>
      </c>
      <c r="D129">
        <f t="shared" si="12"/>
        <v>0.3862878356783967</v>
      </c>
      <c r="E129">
        <f t="shared" si="13"/>
        <v>0.14545659311286821</v>
      </c>
      <c r="F129">
        <f t="shared" si="14"/>
        <v>0.3160346</v>
      </c>
      <c r="G129">
        <f t="shared" si="15"/>
        <v>0.40986922849870316</v>
      </c>
      <c r="H129">
        <f t="shared" si="16"/>
        <v>0.37802219580336788</v>
      </c>
      <c r="I129">
        <f t="shared" si="17"/>
        <v>0.36140728512613685</v>
      </c>
    </row>
    <row r="130" spans="1:9" x14ac:dyDescent="0.2">
      <c r="A130">
        <v>11</v>
      </c>
      <c r="B130">
        <f t="shared" si="18"/>
        <v>24.606299212598426</v>
      </c>
      <c r="C130">
        <f t="shared" si="19"/>
        <v>0.22966589999928516</v>
      </c>
      <c r="D130">
        <f t="shared" si="12"/>
        <v>0.39340819894862383</v>
      </c>
      <c r="E130">
        <f t="shared" si="13"/>
        <v>0.14740858023329934</v>
      </c>
      <c r="F130">
        <f t="shared" si="14"/>
        <v>0.32185999999999998</v>
      </c>
      <c r="G130">
        <f t="shared" si="15"/>
        <v>0.41742426267437993</v>
      </c>
      <c r="H130">
        <f t="shared" si="16"/>
        <v>0.38499020025425063</v>
      </c>
      <c r="I130">
        <f t="shared" si="17"/>
        <v>0.36723268512613677</v>
      </c>
    </row>
    <row r="131" spans="1:9" x14ac:dyDescent="0.2">
      <c r="A131">
        <v>11.1</v>
      </c>
      <c r="B131">
        <f t="shared" si="18"/>
        <v>24.829992841803865</v>
      </c>
      <c r="C131">
        <f t="shared" si="19"/>
        <v>0.23309995999457855</v>
      </c>
      <c r="D131">
        <f t="shared" si="12"/>
        <v>0.40059358836743753</v>
      </c>
      <c r="E131">
        <f t="shared" si="13"/>
        <v>0.14937302880955536</v>
      </c>
      <c r="F131">
        <f t="shared" si="14"/>
        <v>0.32773859999999999</v>
      </c>
      <c r="G131">
        <f t="shared" si="15"/>
        <v>0.42504829259595334</v>
      </c>
      <c r="H131">
        <f t="shared" si="16"/>
        <v>0.39202183944897695</v>
      </c>
      <c r="I131">
        <f t="shared" si="17"/>
        <v>0.37311128512613678</v>
      </c>
    </row>
    <row r="132" spans="1:9" x14ac:dyDescent="0.2">
      <c r="A132">
        <v>11.2</v>
      </c>
      <c r="B132">
        <f t="shared" si="18"/>
        <v>25.053686471009307</v>
      </c>
      <c r="C132">
        <f t="shared" si="19"/>
        <v>0.23655387734951841</v>
      </c>
      <c r="D132">
        <f t="shared" si="12"/>
        <v>0.40784400393483777</v>
      </c>
      <c r="E132">
        <f t="shared" si="13"/>
        <v>0.15134990505468479</v>
      </c>
      <c r="F132">
        <f t="shared" si="14"/>
        <v>0.33367039999999998</v>
      </c>
      <c r="G132">
        <f t="shared" si="15"/>
        <v>0.43274131826342327</v>
      </c>
      <c r="H132">
        <f t="shared" si="16"/>
        <v>0.39911711338754707</v>
      </c>
      <c r="I132">
        <f t="shared" si="17"/>
        <v>0.37904308512613677</v>
      </c>
    </row>
    <row r="133" spans="1:9" x14ac:dyDescent="0.2">
      <c r="A133">
        <v>11.3</v>
      </c>
      <c r="B133">
        <f t="shared" si="18"/>
        <v>25.277380100214742</v>
      </c>
      <c r="C133">
        <f t="shared" si="19"/>
        <v>0.24002758805245353</v>
      </c>
      <c r="D133">
        <f t="shared" si="12"/>
        <v>0.41515944565082469</v>
      </c>
      <c r="E133">
        <f t="shared" si="13"/>
        <v>0.15333917557515206</v>
      </c>
      <c r="F133">
        <f t="shared" si="14"/>
        <v>0.33965540000000005</v>
      </c>
      <c r="G133">
        <f t="shared" si="15"/>
        <v>0.4405033396767899</v>
      </c>
      <c r="H133">
        <f t="shared" si="16"/>
        <v>0.40627602206996088</v>
      </c>
      <c r="I133">
        <f t="shared" si="17"/>
        <v>0.38502808512613684</v>
      </c>
    </row>
    <row r="134" spans="1:9" x14ac:dyDescent="0.2">
      <c r="A134">
        <v>11.4</v>
      </c>
      <c r="B134">
        <f t="shared" si="18"/>
        <v>25.501073729420188</v>
      </c>
      <c r="C134">
        <f t="shared" si="19"/>
        <v>0.24352102886435723</v>
      </c>
      <c r="D134">
        <f t="shared" si="12"/>
        <v>0.42253991351539805</v>
      </c>
      <c r="E134">
        <f t="shared" si="13"/>
        <v>0.15534080736280403</v>
      </c>
      <c r="F134">
        <f t="shared" si="14"/>
        <v>0.34569360000000005</v>
      </c>
      <c r="G134">
        <f t="shared" si="15"/>
        <v>0.44833435683605299</v>
      </c>
      <c r="H134">
        <f t="shared" si="16"/>
        <v>0.41349856549621827</v>
      </c>
      <c r="I134">
        <f t="shared" si="17"/>
        <v>0.39106628512613684</v>
      </c>
    </row>
    <row r="135" spans="1:9" x14ac:dyDescent="0.2">
      <c r="A135">
        <v>11.5</v>
      </c>
      <c r="B135">
        <f t="shared" si="18"/>
        <v>25.724767358625627</v>
      </c>
      <c r="C135">
        <f t="shared" si="19"/>
        <v>0.24703413730278828</v>
      </c>
      <c r="D135">
        <f t="shared" si="12"/>
        <v>0.42998540752855796</v>
      </c>
      <c r="E135">
        <f t="shared" si="13"/>
        <v>0.15735476778707111</v>
      </c>
      <c r="F135">
        <f t="shared" si="14"/>
        <v>0.35178500000000001</v>
      </c>
      <c r="G135">
        <f t="shared" si="15"/>
        <v>0.45623436974121279</v>
      </c>
      <c r="H135">
        <f t="shared" si="16"/>
        <v>0.42078474366631935</v>
      </c>
      <c r="I135">
        <f t="shared" si="17"/>
        <v>0.39715768512613681</v>
      </c>
    </row>
    <row r="136" spans="1:9" x14ac:dyDescent="0.2">
      <c r="A136">
        <v>11.6</v>
      </c>
      <c r="B136">
        <f t="shared" si="18"/>
        <v>25.948460987831066</v>
      </c>
      <c r="C136">
        <f t="shared" si="19"/>
        <v>0.25056685162631931</v>
      </c>
      <c r="D136">
        <f t="shared" si="12"/>
        <v>0.43749592769030438</v>
      </c>
      <c r="E136">
        <f t="shared" si="13"/>
        <v>0.15938102458739153</v>
      </c>
      <c r="F136">
        <f t="shared" si="14"/>
        <v>0.35792960000000001</v>
      </c>
      <c r="G136">
        <f t="shared" si="15"/>
        <v>0.46420337839226916</v>
      </c>
      <c r="H136">
        <f t="shared" si="16"/>
        <v>0.42813455658026423</v>
      </c>
      <c r="I136">
        <f t="shared" si="17"/>
        <v>0.40330228512613681</v>
      </c>
    </row>
    <row r="137" spans="1:9" x14ac:dyDescent="0.2">
      <c r="A137">
        <v>11.7</v>
      </c>
      <c r="B137">
        <f t="shared" si="18"/>
        <v>26.172154617036504</v>
      </c>
      <c r="C137">
        <f t="shared" si="19"/>
        <v>0.25411911081941868</v>
      </c>
      <c r="D137">
        <f t="shared" si="12"/>
        <v>0.44507147400063735</v>
      </c>
      <c r="E137">
        <f t="shared" si="13"/>
        <v>0.16141954586585258</v>
      </c>
      <c r="F137">
        <f t="shared" si="14"/>
        <v>0.36412739999999999</v>
      </c>
      <c r="G137">
        <f t="shared" si="15"/>
        <v>0.47224138278922206</v>
      </c>
      <c r="H137">
        <f t="shared" si="16"/>
        <v>0.43554800423805262</v>
      </c>
      <c r="I137">
        <f t="shared" si="17"/>
        <v>0.40950008512613678</v>
      </c>
    </row>
    <row r="138" spans="1:9" x14ac:dyDescent="0.2">
      <c r="A138">
        <v>11.8</v>
      </c>
      <c r="B138">
        <f t="shared" si="18"/>
        <v>26.395848246241947</v>
      </c>
      <c r="C138">
        <f t="shared" si="19"/>
        <v>0.25769085457776758</v>
      </c>
      <c r="D138">
        <f t="shared" si="12"/>
        <v>0.45271204645955693</v>
      </c>
      <c r="E138">
        <f t="shared" si="13"/>
        <v>0.16347030008004004</v>
      </c>
      <c r="F138">
        <f t="shared" si="14"/>
        <v>0.37037840000000005</v>
      </c>
      <c r="G138">
        <f t="shared" si="15"/>
        <v>0.48034838293207166</v>
      </c>
      <c r="H138">
        <f t="shared" si="16"/>
        <v>0.44302508663968482</v>
      </c>
      <c r="I138">
        <f t="shared" si="17"/>
        <v>0.41575108512613679</v>
      </c>
    </row>
    <row r="139" spans="1:9" x14ac:dyDescent="0.2">
      <c r="A139">
        <v>11.9</v>
      </c>
      <c r="B139">
        <f t="shared" si="18"/>
        <v>26.619541875447386</v>
      </c>
      <c r="C139">
        <f t="shared" si="19"/>
        <v>0.26128202329399586</v>
      </c>
      <c r="D139">
        <f t="shared" si="12"/>
        <v>0.46041764506706306</v>
      </c>
      <c r="E139">
        <f t="shared" si="13"/>
        <v>0.16553325603608735</v>
      </c>
      <c r="F139">
        <f t="shared" si="14"/>
        <v>0.37668260000000003</v>
      </c>
      <c r="G139">
        <f t="shared" si="15"/>
        <v>0.48852437882081778</v>
      </c>
      <c r="H139">
        <f t="shared" si="16"/>
        <v>0.45056580378516059</v>
      </c>
      <c r="I139">
        <f t="shared" si="17"/>
        <v>0.42205528512613683</v>
      </c>
    </row>
    <row r="140" spans="1:9" x14ac:dyDescent="0.2">
      <c r="A140">
        <v>12</v>
      </c>
      <c r="B140">
        <f t="shared" si="18"/>
        <v>26.843235504652828</v>
      </c>
      <c r="C140">
        <f t="shared" si="19"/>
        <v>0.26489255804382311</v>
      </c>
      <c r="D140">
        <f t="shared" si="12"/>
        <v>0.4681882698231557</v>
      </c>
      <c r="E140">
        <f t="shared" si="13"/>
        <v>0.16760838288191951</v>
      </c>
      <c r="F140">
        <f t="shared" si="14"/>
        <v>0.38304000000000005</v>
      </c>
      <c r="G140">
        <f t="shared" si="15"/>
        <v>0.49676937045546038</v>
      </c>
      <c r="H140">
        <f t="shared" si="16"/>
        <v>0.45817015567448005</v>
      </c>
      <c r="I140">
        <f t="shared" si="17"/>
        <v>0.42841268512613678</v>
      </c>
    </row>
    <row r="141" spans="1:9" x14ac:dyDescent="0.2">
      <c r="A141">
        <v>12.1</v>
      </c>
      <c r="B141">
        <f t="shared" si="18"/>
        <v>27.066929133858267</v>
      </c>
      <c r="C141">
        <f t="shared" si="19"/>
        <v>0.26852240057258758</v>
      </c>
      <c r="D141">
        <f t="shared" si="12"/>
        <v>0.47602392072783489</v>
      </c>
      <c r="E141">
        <f t="shared" si="13"/>
        <v>0.16969565010068213</v>
      </c>
      <c r="F141">
        <f t="shared" si="14"/>
        <v>0.38945059999999998</v>
      </c>
      <c r="G141">
        <f t="shared" si="15"/>
        <v>0.50508335783599978</v>
      </c>
      <c r="H141">
        <f t="shared" si="16"/>
        <v>0.46583814230764325</v>
      </c>
      <c r="I141">
        <f t="shared" si="17"/>
        <v>0.43482328512613677</v>
      </c>
    </row>
    <row r="142" spans="1:9" x14ac:dyDescent="0.2">
      <c r="A142">
        <v>12.2</v>
      </c>
      <c r="B142">
        <f t="shared" si="18"/>
        <v>27.290622763063709</v>
      </c>
      <c r="C142">
        <f t="shared" si="19"/>
        <v>0.27217149328214962</v>
      </c>
      <c r="D142">
        <f t="shared" si="12"/>
        <v>0.48392459778110058</v>
      </c>
      <c r="E142">
        <f t="shared" si="13"/>
        <v>0.17179502750435044</v>
      </c>
      <c r="F142">
        <f t="shared" si="14"/>
        <v>0.3959144</v>
      </c>
      <c r="G142">
        <f t="shared" si="15"/>
        <v>0.5134663409624356</v>
      </c>
      <c r="H142">
        <f t="shared" si="16"/>
        <v>0.47356976368465004</v>
      </c>
      <c r="I142">
        <f t="shared" si="17"/>
        <v>0.44128708512613679</v>
      </c>
    </row>
    <row r="143" spans="1:9" x14ac:dyDescent="0.2">
      <c r="A143">
        <v>12.3</v>
      </c>
      <c r="B143">
        <f t="shared" si="18"/>
        <v>27.514316392269148</v>
      </c>
      <c r="C143">
        <f t="shared" si="19"/>
        <v>0.27583977921815944</v>
      </c>
      <c r="D143">
        <f t="shared" si="12"/>
        <v>0.49189030098295305</v>
      </c>
      <c r="E143">
        <f t="shared" si="13"/>
        <v>0.17390648522751287</v>
      </c>
      <c r="F143">
        <f t="shared" si="14"/>
        <v>0.40243140000000011</v>
      </c>
      <c r="G143">
        <f t="shared" si="15"/>
        <v>0.52191831983476822</v>
      </c>
      <c r="H143">
        <f t="shared" si="16"/>
        <v>0.48136501980550073</v>
      </c>
      <c r="I143">
        <f t="shared" si="17"/>
        <v>0.4478040851261369</v>
      </c>
    </row>
    <row r="144" spans="1:9" x14ac:dyDescent="0.2">
      <c r="A144">
        <v>12.4</v>
      </c>
      <c r="B144">
        <f t="shared" si="18"/>
        <v>27.738010021474587</v>
      </c>
      <c r="C144">
        <f t="shared" si="19"/>
        <v>0.27952720205766979</v>
      </c>
      <c r="D144">
        <f t="shared" si="12"/>
        <v>0.49992103033339186</v>
      </c>
      <c r="E144">
        <f t="shared" si="13"/>
        <v>0.17602999372131922</v>
      </c>
      <c r="F144">
        <f t="shared" si="14"/>
        <v>0.40900160000000008</v>
      </c>
      <c r="G144">
        <f t="shared" si="15"/>
        <v>0.5304392944529972</v>
      </c>
      <c r="H144">
        <f t="shared" si="16"/>
        <v>0.48922391067019488</v>
      </c>
      <c r="I144">
        <f t="shared" si="17"/>
        <v>0.45437428512613687</v>
      </c>
    </row>
    <row r="145" spans="1:9" x14ac:dyDescent="0.2">
      <c r="A145">
        <v>12.5</v>
      </c>
      <c r="B145">
        <f t="shared" si="18"/>
        <v>27.961703650680025</v>
      </c>
      <c r="C145">
        <f t="shared" si="19"/>
        <v>0.28323370609708948</v>
      </c>
      <c r="D145">
        <f t="shared" si="12"/>
        <v>0.50801678583241716</v>
      </c>
      <c r="E145">
        <f t="shared" si="13"/>
        <v>0.17816552374759417</v>
      </c>
      <c r="F145">
        <f t="shared" si="14"/>
        <v>0.41562500000000002</v>
      </c>
      <c r="G145">
        <f t="shared" si="15"/>
        <v>0.53902926481712288</v>
      </c>
      <c r="H145">
        <f t="shared" si="16"/>
        <v>0.49714643627873273</v>
      </c>
      <c r="I145">
        <f t="shared" si="17"/>
        <v>0.46099768512613681</v>
      </c>
    </row>
    <row r="146" spans="1:9" x14ac:dyDescent="0.2">
      <c r="A146">
        <v>12.6</v>
      </c>
      <c r="B146">
        <f t="shared" si="18"/>
        <v>28.185397279885468</v>
      </c>
      <c r="C146">
        <f t="shared" si="19"/>
        <v>0.28695923624045755</v>
      </c>
      <c r="D146">
        <f t="shared" si="12"/>
        <v>0.51617756748002908</v>
      </c>
      <c r="E146">
        <f t="shared" si="13"/>
        <v>0.18031304637310253</v>
      </c>
      <c r="F146">
        <f t="shared" si="14"/>
        <v>0.4223016</v>
      </c>
      <c r="G146">
        <f t="shared" si="15"/>
        <v>0.54768823092714514</v>
      </c>
      <c r="H146">
        <f t="shared" si="16"/>
        <v>0.50513259663111432</v>
      </c>
      <c r="I146">
        <f t="shared" si="17"/>
        <v>0.46767428512613679</v>
      </c>
    </row>
    <row r="147" spans="1:9" x14ac:dyDescent="0.2">
      <c r="A147">
        <v>12.7</v>
      </c>
      <c r="B147">
        <f t="shared" si="18"/>
        <v>28.409090909090903</v>
      </c>
      <c r="C147">
        <f t="shared" si="19"/>
        <v>0.29070373798803423</v>
      </c>
      <c r="D147">
        <f t="shared" si="12"/>
        <v>0.5244033752762276</v>
      </c>
      <c r="E147">
        <f t="shared" si="13"/>
        <v>0.18247253296396879</v>
      </c>
      <c r="F147">
        <f t="shared" si="14"/>
        <v>0.42903140000000001</v>
      </c>
      <c r="G147">
        <f t="shared" si="15"/>
        <v>0.55641619278306398</v>
      </c>
      <c r="H147">
        <f t="shared" si="16"/>
        <v>0.51318239172733948</v>
      </c>
      <c r="I147">
        <f t="shared" si="17"/>
        <v>0.4744040851261368</v>
      </c>
    </row>
    <row r="148" spans="1:9" x14ac:dyDescent="0.2">
      <c r="A148">
        <v>12.8</v>
      </c>
      <c r="B148">
        <f t="shared" si="18"/>
        <v>28.632784538296352</v>
      </c>
      <c r="C148">
        <f t="shared" si="19"/>
        <v>0.29446715742519114</v>
      </c>
      <c r="D148">
        <f t="shared" si="12"/>
        <v>0.53269420922101285</v>
      </c>
      <c r="E148">
        <f t="shared" si="13"/>
        <v>0.18464395518023874</v>
      </c>
      <c r="F148">
        <f t="shared" si="14"/>
        <v>0.4358144000000001</v>
      </c>
      <c r="G148">
        <f t="shared" si="15"/>
        <v>0.56521315038487951</v>
      </c>
      <c r="H148">
        <f t="shared" si="16"/>
        <v>0.5212958215674085</v>
      </c>
      <c r="I148">
        <f t="shared" si="17"/>
        <v>0.48118708512613684</v>
      </c>
    </row>
    <row r="149" spans="1:9" x14ac:dyDescent="0.2">
      <c r="A149">
        <v>12.9</v>
      </c>
      <c r="B149">
        <f t="shared" ref="B149:B180" si="20">A149*100/2.54/12/5280*60*60</f>
        <v>28.856478167501788</v>
      </c>
      <c r="C149">
        <f t="shared" ref="C149:C180" si="21">(0.45*(A149^1.64))/100</f>
        <v>0.29824944121159819</v>
      </c>
      <c r="D149">
        <f t="shared" si="12"/>
        <v>0.54105006931438426</v>
      </c>
      <c r="E149">
        <f t="shared" si="13"/>
        <v>0.18682728497058523</v>
      </c>
      <c r="F149">
        <f t="shared" si="14"/>
        <v>0.44265060000000001</v>
      </c>
      <c r="G149">
        <f t="shared" si="15"/>
        <v>0.57407910373259141</v>
      </c>
      <c r="H149">
        <f t="shared" si="16"/>
        <v>0.52947288615132104</v>
      </c>
      <c r="I149">
        <f t="shared" si="17"/>
        <v>0.4880232851261368</v>
      </c>
    </row>
    <row r="150" spans="1:9" x14ac:dyDescent="0.2">
      <c r="A150">
        <v>13</v>
      </c>
      <c r="B150">
        <f t="shared" si="20"/>
        <v>29.080171796707226</v>
      </c>
      <c r="C150">
        <f t="shared" si="21"/>
        <v>0.30205053657068792</v>
      </c>
      <c r="D150">
        <f t="shared" ref="D150:D213" si="22">(0.31*(A150)^2*SQRT(660/600))/100</f>
        <v>0.5494709555563424</v>
      </c>
      <c r="E150">
        <f t="shared" ref="E150:E213" si="23">(2.07+0.215*(A150)^1.7)/100</f>
        <v>0.18902249456714584</v>
      </c>
      <c r="F150">
        <f t="shared" ref="F150:F213" si="24">(0.266*(A150)^2)/100</f>
        <v>0.44954</v>
      </c>
      <c r="G150">
        <f t="shared" ref="G150:G213" si="25">(0.251*(A150)^2*($B$7/660)^(-0.5))/100</f>
        <v>0.5830140528262</v>
      </c>
      <c r="H150">
        <f t="shared" ref="H150:H213" si="26">(0.251*(A150)^2*($B$8/660)^(-0.5))/100</f>
        <v>0.53771358547907733</v>
      </c>
      <c r="I150">
        <f t="shared" ref="I150:I213" si="27">(0.77*($B$17)^0.5*($B$18)+0.266*(A150)^2)/100</f>
        <v>0.49491268512613679</v>
      </c>
    </row>
    <row r="151" spans="1:9" x14ac:dyDescent="0.2">
      <c r="A151">
        <v>13.1</v>
      </c>
      <c r="B151">
        <f t="shared" si="20"/>
        <v>29.303865425912669</v>
      </c>
      <c r="C151">
        <f t="shared" si="21"/>
        <v>0.30587039127939791</v>
      </c>
      <c r="D151">
        <f t="shared" si="22"/>
        <v>0.55795686794688704</v>
      </c>
      <c r="E151">
        <f t="shared" si="23"/>
        <v>0.19122955648049594</v>
      </c>
      <c r="F151">
        <f t="shared" si="24"/>
        <v>0.45648260000000002</v>
      </c>
      <c r="G151">
        <f t="shared" si="25"/>
        <v>0.59201799766570529</v>
      </c>
      <c r="H151">
        <f t="shared" si="26"/>
        <v>0.54601791955067724</v>
      </c>
      <c r="I151">
        <f t="shared" si="27"/>
        <v>0.50185528512613675</v>
      </c>
    </row>
    <row r="152" spans="1:9" x14ac:dyDescent="0.2">
      <c r="A152">
        <v>13.2</v>
      </c>
      <c r="B152">
        <f t="shared" si="20"/>
        <v>29.527559055118104</v>
      </c>
      <c r="C152">
        <f t="shared" si="21"/>
        <v>0.30970895365817175</v>
      </c>
      <c r="D152">
        <f t="shared" si="22"/>
        <v>0.56650780648601828</v>
      </c>
      <c r="E152">
        <f t="shared" si="23"/>
        <v>0.19344844349474538</v>
      </c>
      <c r="F152">
        <f t="shared" si="24"/>
        <v>0.46347839999999996</v>
      </c>
      <c r="G152">
        <f t="shared" si="25"/>
        <v>0.60109093825110704</v>
      </c>
      <c r="H152">
        <f t="shared" si="26"/>
        <v>0.55438588836612079</v>
      </c>
      <c r="I152">
        <f t="shared" si="27"/>
        <v>0.50885108512613675</v>
      </c>
    </row>
    <row r="153" spans="1:9" x14ac:dyDescent="0.2">
      <c r="A153">
        <v>13.3</v>
      </c>
      <c r="B153">
        <f t="shared" si="20"/>
        <v>29.751252684323553</v>
      </c>
      <c r="C153">
        <f t="shared" si="21"/>
        <v>0.31356617256122005</v>
      </c>
      <c r="D153">
        <f t="shared" si="22"/>
        <v>0.57512377117373614</v>
      </c>
      <c r="E153">
        <f t="shared" si="23"/>
        <v>0.19567912866275997</v>
      </c>
      <c r="F153">
        <f t="shared" si="24"/>
        <v>0.4705274000000001</v>
      </c>
      <c r="G153">
        <f t="shared" si="25"/>
        <v>0.6102328745824056</v>
      </c>
      <c r="H153">
        <f t="shared" si="26"/>
        <v>0.56281749192540831</v>
      </c>
      <c r="I153">
        <f t="shared" si="27"/>
        <v>0.51590008512613683</v>
      </c>
    </row>
    <row r="154" spans="1:9" x14ac:dyDescent="0.2">
      <c r="A154">
        <v>13.4</v>
      </c>
      <c r="B154">
        <f t="shared" si="20"/>
        <v>29.974946313528992</v>
      </c>
      <c r="C154">
        <f t="shared" si="21"/>
        <v>0.31744199736702416</v>
      </c>
      <c r="D154">
        <f t="shared" si="22"/>
        <v>0.58380476201004061</v>
      </c>
      <c r="E154">
        <f t="shared" si="23"/>
        <v>0.19792158530150122</v>
      </c>
      <c r="F154">
        <f t="shared" si="24"/>
        <v>0.47762959999999999</v>
      </c>
      <c r="G154">
        <f t="shared" si="25"/>
        <v>0.61944380665960053</v>
      </c>
      <c r="H154">
        <f t="shared" si="26"/>
        <v>0.57131273022853923</v>
      </c>
      <c r="I154">
        <f t="shared" si="27"/>
        <v>0.52300228512613678</v>
      </c>
    </row>
    <row r="155" spans="1:9" x14ac:dyDescent="0.2">
      <c r="A155">
        <v>13.5</v>
      </c>
      <c r="B155">
        <f t="shared" si="20"/>
        <v>30.198639942734427</v>
      </c>
      <c r="C155">
        <f t="shared" si="21"/>
        <v>0.32133637796908132</v>
      </c>
      <c r="D155">
        <f t="shared" si="22"/>
        <v>0.59255077899493147</v>
      </c>
      <c r="E155">
        <f t="shared" si="23"/>
        <v>0.20017578698748179</v>
      </c>
      <c r="F155">
        <f t="shared" si="24"/>
        <v>0.48478500000000002</v>
      </c>
      <c r="G155">
        <f t="shared" si="25"/>
        <v>0.62872373448269214</v>
      </c>
      <c r="H155">
        <f t="shared" si="26"/>
        <v>0.5798716032755139</v>
      </c>
      <c r="I155">
        <f t="shared" si="27"/>
        <v>0.53015768512613681</v>
      </c>
    </row>
    <row r="156" spans="1:9" x14ac:dyDescent="0.2">
      <c r="A156">
        <v>13.6</v>
      </c>
      <c r="B156">
        <f t="shared" si="20"/>
        <v>30.422333571939877</v>
      </c>
      <c r="C156">
        <f t="shared" si="21"/>
        <v>0.32524926476687988</v>
      </c>
      <c r="D156">
        <f t="shared" si="22"/>
        <v>0.60136182212840883</v>
      </c>
      <c r="E156">
        <f t="shared" si="23"/>
        <v>0.20244170755233107</v>
      </c>
      <c r="F156">
        <f t="shared" si="24"/>
        <v>0.49199359999999998</v>
      </c>
      <c r="G156">
        <f t="shared" si="25"/>
        <v>0.63807265805168012</v>
      </c>
      <c r="H156">
        <f t="shared" si="26"/>
        <v>0.58849411106633209</v>
      </c>
      <c r="I156">
        <f t="shared" si="27"/>
        <v>0.53736628512613682</v>
      </c>
    </row>
    <row r="157" spans="1:9" x14ac:dyDescent="0.2">
      <c r="A157">
        <v>13.7</v>
      </c>
      <c r="B157">
        <f t="shared" si="20"/>
        <v>30.646027201145319</v>
      </c>
      <c r="C157">
        <f t="shared" si="21"/>
        <v>0.32918060865709559</v>
      </c>
      <c r="D157">
        <f t="shared" si="22"/>
        <v>0.61023789141047269</v>
      </c>
      <c r="E157">
        <f t="shared" si="23"/>
        <v>0.20471932107846993</v>
      </c>
      <c r="F157">
        <f t="shared" si="24"/>
        <v>0.49925539999999996</v>
      </c>
      <c r="G157">
        <f t="shared" si="25"/>
        <v>0.64749057736656501</v>
      </c>
      <c r="H157">
        <f t="shared" si="26"/>
        <v>0.59718025360099414</v>
      </c>
      <c r="I157">
        <f t="shared" si="27"/>
        <v>0.54462808512613681</v>
      </c>
    </row>
    <row r="158" spans="1:9" x14ac:dyDescent="0.2">
      <c r="A158">
        <v>13.8</v>
      </c>
      <c r="B158">
        <f t="shared" si="20"/>
        <v>30.869720830350747</v>
      </c>
      <c r="C158">
        <f t="shared" si="21"/>
        <v>0.33313036102501015</v>
      </c>
      <c r="D158">
        <f t="shared" si="22"/>
        <v>0.61917898684112349</v>
      </c>
      <c r="E158">
        <f t="shared" si="23"/>
        <v>0.20700860189488943</v>
      </c>
      <c r="F158">
        <f t="shared" si="24"/>
        <v>0.50657040000000009</v>
      </c>
      <c r="G158">
        <f t="shared" si="25"/>
        <v>0.6569774924273466</v>
      </c>
      <c r="H158">
        <f t="shared" si="26"/>
        <v>0.60593003087950004</v>
      </c>
      <c r="I158">
        <f t="shared" si="27"/>
        <v>0.55194308512613688</v>
      </c>
    </row>
    <row r="159" spans="1:9" x14ac:dyDescent="0.2">
      <c r="A159">
        <v>13.9</v>
      </c>
      <c r="B159">
        <f t="shared" si="20"/>
        <v>31.093414459556186</v>
      </c>
      <c r="C159">
        <f t="shared" si="21"/>
        <v>0.337098473736132</v>
      </c>
      <c r="D159">
        <f t="shared" si="22"/>
        <v>0.62818510842036046</v>
      </c>
      <c r="E159">
        <f t="shared" si="23"/>
        <v>0.20930952457303004</v>
      </c>
      <c r="F159">
        <f t="shared" si="24"/>
        <v>0.51393860000000002</v>
      </c>
      <c r="G159">
        <f t="shared" si="25"/>
        <v>0.66653340323402444</v>
      </c>
      <c r="H159">
        <f t="shared" si="26"/>
        <v>0.61474344290184935</v>
      </c>
      <c r="I159">
        <f t="shared" si="27"/>
        <v>0.55931128512613681</v>
      </c>
    </row>
    <row r="160" spans="1:9" x14ac:dyDescent="0.2">
      <c r="A160">
        <v>14</v>
      </c>
      <c r="B160">
        <f t="shared" si="20"/>
        <v>31.317108088761621</v>
      </c>
      <c r="C160">
        <f t="shared" si="21"/>
        <v>0.34108489912802598</v>
      </c>
      <c r="D160">
        <f t="shared" si="22"/>
        <v>0.63725625614818415</v>
      </c>
      <c r="E160">
        <f t="shared" si="23"/>
        <v>0.2116220639227607</v>
      </c>
      <c r="F160">
        <f t="shared" si="24"/>
        <v>0.52136000000000005</v>
      </c>
      <c r="G160">
        <f t="shared" si="25"/>
        <v>0.67615830978659885</v>
      </c>
      <c r="H160">
        <f t="shared" si="26"/>
        <v>0.62362048966804229</v>
      </c>
      <c r="I160">
        <f t="shared" si="27"/>
        <v>0.56673268512613684</v>
      </c>
    </row>
    <row r="161" spans="1:9" x14ac:dyDescent="0.2">
      <c r="A161">
        <v>14.1</v>
      </c>
      <c r="B161">
        <f t="shared" si="20"/>
        <v>31.540801717967071</v>
      </c>
      <c r="C161">
        <f t="shared" si="21"/>
        <v>0.34508959000233669</v>
      </c>
      <c r="D161">
        <f t="shared" si="22"/>
        <v>0.64639243002459434</v>
      </c>
      <c r="E161">
        <f t="shared" si="23"/>
        <v>0.21394619498845063</v>
      </c>
      <c r="F161">
        <f t="shared" si="24"/>
        <v>0.52883460000000004</v>
      </c>
      <c r="G161">
        <f t="shared" si="25"/>
        <v>0.68585221208507008</v>
      </c>
      <c r="H161">
        <f t="shared" si="26"/>
        <v>0.63256117117807908</v>
      </c>
      <c r="I161">
        <f t="shared" si="27"/>
        <v>0.57420728512613683</v>
      </c>
    </row>
    <row r="162" spans="1:9" x14ac:dyDescent="0.2">
      <c r="A162">
        <v>14.2</v>
      </c>
      <c r="B162">
        <f t="shared" si="20"/>
        <v>31.764495347172513</v>
      </c>
      <c r="C162">
        <f t="shared" si="21"/>
        <v>0.34911249961700219</v>
      </c>
      <c r="D162">
        <f t="shared" si="22"/>
        <v>0.65559363004959093</v>
      </c>
      <c r="E162">
        <f t="shared" si="23"/>
        <v>0.21628189304513537</v>
      </c>
      <c r="F162">
        <f t="shared" si="24"/>
        <v>0.53636240000000002</v>
      </c>
      <c r="G162">
        <f t="shared" si="25"/>
        <v>0.69561511012943766</v>
      </c>
      <c r="H162">
        <f t="shared" si="26"/>
        <v>0.6415654874319594</v>
      </c>
      <c r="I162">
        <f t="shared" si="27"/>
        <v>0.58173508512613681</v>
      </c>
    </row>
    <row r="163" spans="1:9" x14ac:dyDescent="0.2">
      <c r="A163">
        <v>14.3</v>
      </c>
      <c r="B163">
        <f t="shared" si="20"/>
        <v>31.988188976377948</v>
      </c>
      <c r="C163">
        <f t="shared" si="21"/>
        <v>0.35315358167865485</v>
      </c>
      <c r="D163">
        <f t="shared" si="22"/>
        <v>0.66485985622317434</v>
      </c>
      <c r="E163">
        <f t="shared" si="23"/>
        <v>0.21862913359477076</v>
      </c>
      <c r="F163">
        <f t="shared" si="24"/>
        <v>0.54394340000000008</v>
      </c>
      <c r="G163">
        <f t="shared" si="25"/>
        <v>0.70544700391970205</v>
      </c>
      <c r="H163">
        <f t="shared" si="26"/>
        <v>0.65063343842968369</v>
      </c>
      <c r="I163">
        <f t="shared" si="27"/>
        <v>0.58931608512613687</v>
      </c>
    </row>
    <row r="164" spans="1:9" x14ac:dyDescent="0.2">
      <c r="A164">
        <v>14.4</v>
      </c>
      <c r="B164">
        <f t="shared" si="20"/>
        <v>32.211882605583398</v>
      </c>
      <c r="C164">
        <f t="shared" si="21"/>
        <v>0.35721279033519737</v>
      </c>
      <c r="D164">
        <f t="shared" si="22"/>
        <v>0.67419110854534414</v>
      </c>
      <c r="E164">
        <f t="shared" si="23"/>
        <v>0.22098789236257449</v>
      </c>
      <c r="F164">
        <f t="shared" si="24"/>
        <v>0.5515776</v>
      </c>
      <c r="G164">
        <f t="shared" si="25"/>
        <v>0.71534789345586303</v>
      </c>
      <c r="H164">
        <f t="shared" si="26"/>
        <v>0.65976502417125138</v>
      </c>
      <c r="I164">
        <f t="shared" si="27"/>
        <v>0.59695028512613679</v>
      </c>
    </row>
    <row r="165" spans="1:9" x14ac:dyDescent="0.2">
      <c r="A165">
        <v>14.5</v>
      </c>
      <c r="B165">
        <f t="shared" si="20"/>
        <v>32.43557623478884</v>
      </c>
      <c r="C165">
        <f t="shared" si="21"/>
        <v>0.36129008016855563</v>
      </c>
      <c r="D165">
        <f t="shared" si="22"/>
        <v>0.68358738701610056</v>
      </c>
      <c r="E165">
        <f t="shared" si="23"/>
        <v>0.22335814529345119</v>
      </c>
      <c r="F165">
        <f t="shared" si="24"/>
        <v>0.55926500000000001</v>
      </c>
      <c r="G165">
        <f t="shared" si="25"/>
        <v>0.72531777873792047</v>
      </c>
      <c r="H165">
        <f t="shared" si="26"/>
        <v>0.66896024465666271</v>
      </c>
      <c r="I165">
        <f t="shared" si="27"/>
        <v>0.6046376851261368</v>
      </c>
    </row>
    <row r="166" spans="1:9" x14ac:dyDescent="0.2">
      <c r="A166">
        <v>14.6</v>
      </c>
      <c r="B166">
        <f t="shared" si="20"/>
        <v>32.659269863994268</v>
      </c>
      <c r="C166">
        <f t="shared" si="21"/>
        <v>0.36538540618759896</v>
      </c>
      <c r="D166">
        <f t="shared" si="22"/>
        <v>0.69304869163544358</v>
      </c>
      <c r="E166">
        <f t="shared" si="23"/>
        <v>0.22573986854849831</v>
      </c>
      <c r="F166">
        <f t="shared" si="24"/>
        <v>0.5670056</v>
      </c>
      <c r="G166">
        <f t="shared" si="25"/>
        <v>0.73535665976587472</v>
      </c>
      <c r="H166">
        <f t="shared" si="26"/>
        <v>0.67821909988591789</v>
      </c>
      <c r="I166">
        <f t="shared" si="27"/>
        <v>0.61237828512613679</v>
      </c>
    </row>
    <row r="167" spans="1:9" x14ac:dyDescent="0.2">
      <c r="A167">
        <v>14.7</v>
      </c>
      <c r="B167">
        <f t="shared" si="20"/>
        <v>32.882963493199711</v>
      </c>
      <c r="C167">
        <f t="shared" si="21"/>
        <v>0.36949872382122306</v>
      </c>
      <c r="D167">
        <f t="shared" si="22"/>
        <v>0.702575022403373</v>
      </c>
      <c r="E167">
        <f t="shared" si="23"/>
        <v>0.22813303850159364</v>
      </c>
      <c r="F167">
        <f t="shared" si="24"/>
        <v>0.57479939999999996</v>
      </c>
      <c r="G167">
        <f t="shared" si="25"/>
        <v>0.74546453653972522</v>
      </c>
      <c r="H167">
        <f t="shared" si="26"/>
        <v>0.68754158985901659</v>
      </c>
      <c r="I167">
        <f t="shared" si="27"/>
        <v>0.62017208512613675</v>
      </c>
    </row>
    <row r="168" spans="1:9" x14ac:dyDescent="0.2">
      <c r="A168">
        <v>14.8</v>
      </c>
      <c r="B168">
        <f t="shared" si="20"/>
        <v>33.106657122405146</v>
      </c>
      <c r="C168">
        <f t="shared" si="21"/>
        <v>0.37362998891159122</v>
      </c>
      <c r="D168">
        <f t="shared" si="22"/>
        <v>0.71216637931988902</v>
      </c>
      <c r="E168">
        <f t="shared" si="23"/>
        <v>0.23053763173605674</v>
      </c>
      <c r="F168">
        <f t="shared" si="24"/>
        <v>0.58264640000000012</v>
      </c>
      <c r="G168">
        <f t="shared" si="25"/>
        <v>0.75564140905947275</v>
      </c>
      <c r="H168">
        <f t="shared" si="26"/>
        <v>0.69692771457595926</v>
      </c>
      <c r="I168">
        <f t="shared" si="27"/>
        <v>0.62801908512613691</v>
      </c>
    </row>
    <row r="169" spans="1:9" x14ac:dyDescent="0.2">
      <c r="A169">
        <v>14.9</v>
      </c>
      <c r="B169">
        <f t="shared" si="20"/>
        <v>33.330350751610595</v>
      </c>
      <c r="C169">
        <f t="shared" si="21"/>
        <v>0.37777915770753112</v>
      </c>
      <c r="D169">
        <f t="shared" si="22"/>
        <v>0.72182276238499166</v>
      </c>
      <c r="E169">
        <f t="shared" si="23"/>
        <v>0.23295362504138697</v>
      </c>
      <c r="F169">
        <f t="shared" si="24"/>
        <v>0.59054660000000003</v>
      </c>
      <c r="G169">
        <f t="shared" si="25"/>
        <v>0.76588727732511641</v>
      </c>
      <c r="H169">
        <f t="shared" si="26"/>
        <v>0.70637747403674533</v>
      </c>
      <c r="I169">
        <f t="shared" si="27"/>
        <v>0.63591928512613682</v>
      </c>
    </row>
    <row r="170" spans="1:9" x14ac:dyDescent="0.2">
      <c r="A170">
        <v>15</v>
      </c>
      <c r="B170">
        <f t="shared" si="20"/>
        <v>33.554044380816038</v>
      </c>
      <c r="C170">
        <f t="shared" si="21"/>
        <v>0.38194618685807863</v>
      </c>
      <c r="D170">
        <f t="shared" si="22"/>
        <v>0.73154417159868079</v>
      </c>
      <c r="E170">
        <f t="shared" si="23"/>
        <v>0.23538099541007285</v>
      </c>
      <c r="F170">
        <f t="shared" si="24"/>
        <v>0.59850000000000003</v>
      </c>
      <c r="G170">
        <f t="shared" si="25"/>
        <v>0.77620214133665699</v>
      </c>
      <c r="H170">
        <f t="shared" si="26"/>
        <v>0.71589086824137516</v>
      </c>
      <c r="I170">
        <f t="shared" si="27"/>
        <v>0.64387268512613682</v>
      </c>
    </row>
    <row r="171" spans="1:9" x14ac:dyDescent="0.2">
      <c r="A171">
        <v>15.1</v>
      </c>
      <c r="B171">
        <f t="shared" si="20"/>
        <v>33.777738010021473</v>
      </c>
      <c r="C171">
        <f t="shared" si="21"/>
        <v>0.38613103340616761</v>
      </c>
      <c r="D171">
        <f t="shared" si="22"/>
        <v>0.74133060696095643</v>
      </c>
      <c r="E171">
        <f t="shared" si="23"/>
        <v>0.23781972003447216</v>
      </c>
      <c r="F171">
        <f t="shared" si="24"/>
        <v>0.60650660000000001</v>
      </c>
      <c r="G171">
        <f t="shared" si="25"/>
        <v>0.78658600109409393</v>
      </c>
      <c r="H171">
        <f t="shared" si="26"/>
        <v>0.7254678971898485</v>
      </c>
      <c r="I171">
        <f t="shared" si="27"/>
        <v>0.6518792851261368</v>
      </c>
    </row>
    <row r="172" spans="1:9" x14ac:dyDescent="0.2">
      <c r="A172">
        <v>15.2</v>
      </c>
      <c r="B172">
        <f t="shared" si="20"/>
        <v>34.001431639226922</v>
      </c>
      <c r="C172">
        <f t="shared" si="21"/>
        <v>0.39033365478246018</v>
      </c>
      <c r="D172">
        <f t="shared" si="22"/>
        <v>0.75118206847181868</v>
      </c>
      <c r="E172">
        <f t="shared" si="23"/>
        <v>0.24026977630376073</v>
      </c>
      <c r="F172">
        <f t="shared" si="24"/>
        <v>0.61456639999999996</v>
      </c>
      <c r="G172">
        <f t="shared" si="25"/>
        <v>0.79703885659742768</v>
      </c>
      <c r="H172">
        <f t="shared" si="26"/>
        <v>0.73510856088216581</v>
      </c>
      <c r="I172">
        <f t="shared" si="27"/>
        <v>0.65993908512613686</v>
      </c>
    </row>
    <row r="173" spans="1:9" x14ac:dyDescent="0.2">
      <c r="A173">
        <v>15.3</v>
      </c>
      <c r="B173">
        <f t="shared" si="20"/>
        <v>34.225125268432365</v>
      </c>
      <c r="C173">
        <f t="shared" si="21"/>
        <v>0.39455400879931601</v>
      </c>
      <c r="D173">
        <f t="shared" si="22"/>
        <v>0.76109855613126753</v>
      </c>
      <c r="E173">
        <f t="shared" si="23"/>
        <v>0.24273114180094754</v>
      </c>
      <c r="F173">
        <f t="shared" si="24"/>
        <v>0.62267940000000011</v>
      </c>
      <c r="G173">
        <f t="shared" si="25"/>
        <v>0.8075607078466579</v>
      </c>
      <c r="H173">
        <f t="shared" si="26"/>
        <v>0.74481285931832686</v>
      </c>
      <c r="I173">
        <f t="shared" si="27"/>
        <v>0.6680520851261369</v>
      </c>
    </row>
    <row r="174" spans="1:9" x14ac:dyDescent="0.2">
      <c r="A174">
        <v>15.4</v>
      </c>
      <c r="B174">
        <f t="shared" si="20"/>
        <v>34.448818897637793</v>
      </c>
      <c r="C174">
        <f t="shared" si="21"/>
        <v>0.39879205364488823</v>
      </c>
      <c r="D174">
        <f t="shared" si="22"/>
        <v>0.77108006993930289</v>
      </c>
      <c r="E174">
        <f t="shared" si="23"/>
        <v>0.24520379429995312</v>
      </c>
      <c r="F174">
        <f t="shared" si="24"/>
        <v>0.63084560000000012</v>
      </c>
      <c r="G174">
        <f t="shared" si="25"/>
        <v>0.81815155484178481</v>
      </c>
      <c r="H174">
        <f t="shared" si="26"/>
        <v>0.75458079249833132</v>
      </c>
      <c r="I174">
        <f t="shared" si="27"/>
        <v>0.67621828512613691</v>
      </c>
    </row>
    <row r="175" spans="1:9" x14ac:dyDescent="0.2">
      <c r="A175">
        <v>15.5</v>
      </c>
      <c r="B175">
        <f t="shared" si="20"/>
        <v>34.672512526843235</v>
      </c>
      <c r="C175">
        <f t="shared" si="21"/>
        <v>0.40304774787735576</v>
      </c>
      <c r="D175">
        <f t="shared" si="22"/>
        <v>0.78112660989592475</v>
      </c>
      <c r="E175">
        <f t="shared" si="23"/>
        <v>0.24768771176275209</v>
      </c>
      <c r="F175">
        <f t="shared" si="24"/>
        <v>0.63906499999999999</v>
      </c>
      <c r="G175">
        <f t="shared" si="25"/>
        <v>0.82881139758280808</v>
      </c>
      <c r="H175">
        <f t="shared" si="26"/>
        <v>0.76441236042217953</v>
      </c>
      <c r="I175">
        <f t="shared" si="27"/>
        <v>0.6844376851261369</v>
      </c>
    </row>
    <row r="176" spans="1:9" x14ac:dyDescent="0.2">
      <c r="A176">
        <v>15.6</v>
      </c>
      <c r="B176">
        <f t="shared" si="20"/>
        <v>34.89620615604867</v>
      </c>
      <c r="C176">
        <f t="shared" si="21"/>
        <v>0.40732105041927569</v>
      </c>
      <c r="D176">
        <f t="shared" si="22"/>
        <v>0.791238176001133</v>
      </c>
      <c r="E176">
        <f t="shared" si="23"/>
        <v>0.25018287233657721</v>
      </c>
      <c r="F176">
        <f t="shared" si="24"/>
        <v>0.64733760000000007</v>
      </c>
      <c r="G176">
        <f t="shared" si="25"/>
        <v>0.83954023606972816</v>
      </c>
      <c r="H176">
        <f t="shared" si="26"/>
        <v>0.77430756308987125</v>
      </c>
      <c r="I176">
        <f t="shared" si="27"/>
        <v>0.69271028512613686</v>
      </c>
    </row>
    <row r="177" spans="1:9" x14ac:dyDescent="0.2">
      <c r="A177">
        <v>15.7</v>
      </c>
      <c r="B177">
        <f t="shared" si="20"/>
        <v>35.119899785254113</v>
      </c>
      <c r="C177">
        <f t="shared" si="21"/>
        <v>0.41161192055206042</v>
      </c>
      <c r="D177">
        <f t="shared" si="22"/>
        <v>0.80141476825492797</v>
      </c>
      <c r="E177">
        <f t="shared" si="23"/>
        <v>0.25268925435118095</v>
      </c>
      <c r="F177">
        <f t="shared" si="24"/>
        <v>0.65566340000000001</v>
      </c>
      <c r="G177">
        <f t="shared" si="25"/>
        <v>0.8503380703025446</v>
      </c>
      <c r="H177">
        <f t="shared" si="26"/>
        <v>0.78426640050140695</v>
      </c>
      <c r="I177">
        <f t="shared" si="27"/>
        <v>0.7010360851261368</v>
      </c>
    </row>
    <row r="178" spans="1:9" x14ac:dyDescent="0.2">
      <c r="A178">
        <v>15.8</v>
      </c>
      <c r="B178">
        <f t="shared" si="20"/>
        <v>35.343593414459555</v>
      </c>
      <c r="C178">
        <f t="shared" si="21"/>
        <v>0.41592031791057144</v>
      </c>
      <c r="D178">
        <f t="shared" si="22"/>
        <v>0.81165638665730966</v>
      </c>
      <c r="E178">
        <f t="shared" si="23"/>
        <v>0.25520683631615476</v>
      </c>
      <c r="F178">
        <f t="shared" si="24"/>
        <v>0.66404240000000003</v>
      </c>
      <c r="G178">
        <f t="shared" si="25"/>
        <v>0.86120490028125796</v>
      </c>
      <c r="H178">
        <f t="shared" si="26"/>
        <v>0.79428887265678627</v>
      </c>
      <c r="I178">
        <f t="shared" si="27"/>
        <v>0.70941508512613682</v>
      </c>
    </row>
    <row r="179" spans="1:9" x14ac:dyDescent="0.2">
      <c r="A179">
        <v>15.9</v>
      </c>
      <c r="B179">
        <f t="shared" si="20"/>
        <v>35.56728704366499</v>
      </c>
      <c r="C179">
        <f t="shared" si="21"/>
        <v>0.42024620247783018</v>
      </c>
      <c r="D179">
        <f t="shared" si="22"/>
        <v>0.82196303120827763</v>
      </c>
      <c r="E179">
        <f t="shared" si="23"/>
        <v>0.25773559691830744</v>
      </c>
      <c r="F179">
        <f t="shared" si="24"/>
        <v>0.67247460000000003</v>
      </c>
      <c r="G179">
        <f t="shared" si="25"/>
        <v>0.87214072600586778</v>
      </c>
      <c r="H179">
        <f t="shared" si="26"/>
        <v>0.80437497955600923</v>
      </c>
      <c r="I179">
        <f t="shared" si="27"/>
        <v>0.71784728512613682</v>
      </c>
    </row>
    <row r="180" spans="1:9" x14ac:dyDescent="0.2">
      <c r="A180">
        <v>16</v>
      </c>
      <c r="B180">
        <f t="shared" si="20"/>
        <v>35.79098067287044</v>
      </c>
      <c r="C180">
        <f t="shared" si="21"/>
        <v>0.42458953457983695</v>
      </c>
      <c r="D180">
        <f t="shared" si="22"/>
        <v>0.83233470190783232</v>
      </c>
      <c r="E180">
        <f t="shared" si="23"/>
        <v>0.2602755150190933</v>
      </c>
      <c r="F180">
        <f t="shared" si="24"/>
        <v>0.68096000000000001</v>
      </c>
      <c r="G180">
        <f t="shared" si="25"/>
        <v>0.88314554747637419</v>
      </c>
      <c r="H180">
        <f t="shared" si="26"/>
        <v>0.81452472119907571</v>
      </c>
      <c r="I180">
        <f t="shared" si="27"/>
        <v>0.7263326851261368</v>
      </c>
    </row>
    <row r="181" spans="1:9" x14ac:dyDescent="0.2">
      <c r="A181">
        <v>16.100000000000001</v>
      </c>
      <c r="B181">
        <f t="shared" ref="B181:B212" si="28">A181*100/2.54/12/5280*60*60</f>
        <v>36.014674302075882</v>
      </c>
      <c r="C181">
        <f t="shared" ref="C181:C212" si="29">(0.45*(A181^1.64))/100</f>
        <v>0.42895027488050647</v>
      </c>
      <c r="D181">
        <f t="shared" si="22"/>
        <v>0.84277139875597351</v>
      </c>
      <c r="E181">
        <f t="shared" si="23"/>
        <v>0.26282656965209855</v>
      </c>
      <c r="F181">
        <f t="shared" si="24"/>
        <v>0.68949860000000018</v>
      </c>
      <c r="G181">
        <f t="shared" si="25"/>
        <v>0.89421936469277707</v>
      </c>
      <c r="H181">
        <f t="shared" si="26"/>
        <v>0.82473809758598604</v>
      </c>
      <c r="I181">
        <f t="shared" si="27"/>
        <v>0.73487128512613697</v>
      </c>
    </row>
    <row r="182" spans="1:9" x14ac:dyDescent="0.2">
      <c r="A182">
        <v>16.2</v>
      </c>
      <c r="B182">
        <f t="shared" si="28"/>
        <v>36.238367931281317</v>
      </c>
      <c r="C182">
        <f t="shared" si="29"/>
        <v>0.43332838437670018</v>
      </c>
      <c r="D182">
        <f t="shared" si="22"/>
        <v>0.8532731217527012</v>
      </c>
      <c r="E182">
        <f t="shared" si="23"/>
        <v>0.265388740020575</v>
      </c>
      <c r="F182">
        <f t="shared" si="24"/>
        <v>0.69809040000000011</v>
      </c>
      <c r="G182">
        <f t="shared" si="25"/>
        <v>0.90536217765507654</v>
      </c>
      <c r="H182">
        <f t="shared" si="26"/>
        <v>0.8350151087167399</v>
      </c>
      <c r="I182">
        <f t="shared" si="27"/>
        <v>0.7434630851261369</v>
      </c>
    </row>
    <row r="183" spans="1:9" x14ac:dyDescent="0.2">
      <c r="A183">
        <v>16.3</v>
      </c>
      <c r="B183">
        <f t="shared" si="28"/>
        <v>36.46206156048676</v>
      </c>
      <c r="C183">
        <f t="shared" si="29"/>
        <v>0.43772382439336854</v>
      </c>
      <c r="D183">
        <f t="shared" si="22"/>
        <v>0.8638398708980155</v>
      </c>
      <c r="E183">
        <f t="shared" si="23"/>
        <v>0.26796200549502719</v>
      </c>
      <c r="F183">
        <f t="shared" si="24"/>
        <v>0.70673540000000001</v>
      </c>
      <c r="G183">
        <f t="shared" si="25"/>
        <v>0.91657398636327292</v>
      </c>
      <c r="H183">
        <f t="shared" si="26"/>
        <v>0.84535575459133772</v>
      </c>
      <c r="I183">
        <f t="shared" si="27"/>
        <v>0.7521080851261368</v>
      </c>
    </row>
    <row r="184" spans="1:9" x14ac:dyDescent="0.2">
      <c r="A184">
        <v>16.399999999999999</v>
      </c>
      <c r="B184">
        <f t="shared" si="28"/>
        <v>36.685755189692188</v>
      </c>
      <c r="C184">
        <f t="shared" si="29"/>
        <v>0.44213655657879025</v>
      </c>
      <c r="D184">
        <f t="shared" si="22"/>
        <v>0.8744716461919162</v>
      </c>
      <c r="E184">
        <f t="shared" si="23"/>
        <v>0.27054634561084562</v>
      </c>
      <c r="F184">
        <f t="shared" si="24"/>
        <v>0.71543359999999989</v>
      </c>
      <c r="G184">
        <f t="shared" si="25"/>
        <v>0.92785479081736555</v>
      </c>
      <c r="H184">
        <f t="shared" si="26"/>
        <v>0.85576003520977895</v>
      </c>
      <c r="I184">
        <f t="shared" si="27"/>
        <v>0.76080628512613668</v>
      </c>
    </row>
    <row r="185" spans="1:9" x14ac:dyDescent="0.2">
      <c r="A185">
        <v>16.5</v>
      </c>
      <c r="B185">
        <f t="shared" si="28"/>
        <v>36.909448818897637</v>
      </c>
      <c r="C185">
        <f t="shared" si="29"/>
        <v>0.44656654289991055</v>
      </c>
      <c r="D185">
        <f t="shared" si="22"/>
        <v>0.88516844763440361</v>
      </c>
      <c r="E185">
        <f t="shared" si="23"/>
        <v>0.27314174006599135</v>
      </c>
      <c r="F185">
        <f t="shared" si="24"/>
        <v>0.72418500000000008</v>
      </c>
      <c r="G185">
        <f t="shared" si="25"/>
        <v>0.93920459101735487</v>
      </c>
      <c r="H185">
        <f t="shared" si="26"/>
        <v>0.86622795057206392</v>
      </c>
      <c r="I185">
        <f t="shared" si="27"/>
        <v>0.76955768512613687</v>
      </c>
    </row>
    <row r="186" spans="1:9" x14ac:dyDescent="0.2">
      <c r="A186">
        <v>16.600000000000001</v>
      </c>
      <c r="B186">
        <f t="shared" si="28"/>
        <v>37.133142448103087</v>
      </c>
      <c r="C186">
        <f t="shared" si="29"/>
        <v>0.45101374563777602</v>
      </c>
      <c r="D186">
        <f t="shared" si="22"/>
        <v>0.89593027522547786</v>
      </c>
      <c r="E186">
        <f t="shared" si="23"/>
        <v>0.27574816871872371</v>
      </c>
      <c r="F186">
        <f t="shared" si="24"/>
        <v>0.73298960000000024</v>
      </c>
      <c r="G186">
        <f t="shared" si="25"/>
        <v>0.950623386963241</v>
      </c>
      <c r="H186">
        <f t="shared" si="26"/>
        <v>0.87675950067819275</v>
      </c>
      <c r="I186">
        <f t="shared" si="27"/>
        <v>0.77836228512613703</v>
      </c>
    </row>
    <row r="187" spans="1:9" x14ac:dyDescent="0.2">
      <c r="A187">
        <v>16.7</v>
      </c>
      <c r="B187">
        <f t="shared" si="28"/>
        <v>37.356836077308515</v>
      </c>
      <c r="C187">
        <f t="shared" si="29"/>
        <v>0.45547812738305565</v>
      </c>
      <c r="D187">
        <f t="shared" si="22"/>
        <v>0.90675712896513816</v>
      </c>
      <c r="E187">
        <f t="shared" si="23"/>
        <v>0.27836561158537448</v>
      </c>
      <c r="F187">
        <f t="shared" si="24"/>
        <v>0.74184740000000005</v>
      </c>
      <c r="G187">
        <f t="shared" si="25"/>
        <v>0.96211117865502327</v>
      </c>
      <c r="H187">
        <f t="shared" si="26"/>
        <v>0.88735468552816499</v>
      </c>
      <c r="I187">
        <f t="shared" si="27"/>
        <v>0.78722008512613684</v>
      </c>
    </row>
    <row r="188" spans="1:9" x14ac:dyDescent="0.2">
      <c r="A188">
        <v>16.8</v>
      </c>
      <c r="B188">
        <f t="shared" si="28"/>
        <v>37.580529706513964</v>
      </c>
      <c r="C188">
        <f t="shared" si="29"/>
        <v>0.45995965103166314</v>
      </c>
      <c r="D188">
        <f t="shared" si="22"/>
        <v>0.91764900885338518</v>
      </c>
      <c r="E188">
        <f t="shared" si="23"/>
        <v>0.28099404883816698</v>
      </c>
      <c r="F188">
        <f t="shared" si="24"/>
        <v>0.75075840000000005</v>
      </c>
      <c r="G188">
        <f t="shared" si="25"/>
        <v>0.97366796609270256</v>
      </c>
      <c r="H188">
        <f t="shared" si="26"/>
        <v>0.89801350512198097</v>
      </c>
      <c r="I188">
        <f t="shared" si="27"/>
        <v>0.79613108512613673</v>
      </c>
    </row>
    <row r="189" spans="1:9" x14ac:dyDescent="0.2">
      <c r="A189">
        <v>16.899999999999999</v>
      </c>
      <c r="B189">
        <f t="shared" si="28"/>
        <v>37.804223335719392</v>
      </c>
      <c r="C189">
        <f t="shared" si="29"/>
        <v>0.46445827978045512</v>
      </c>
      <c r="D189">
        <f t="shared" si="22"/>
        <v>0.9286059148902186</v>
      </c>
      <c r="E189">
        <f t="shared" si="23"/>
        <v>0.28363346080307678</v>
      </c>
      <c r="F189">
        <f t="shared" si="24"/>
        <v>0.75972259999999991</v>
      </c>
      <c r="G189">
        <f t="shared" si="25"/>
        <v>0.98529374927627811</v>
      </c>
      <c r="H189">
        <f t="shared" si="26"/>
        <v>0.90873595945964059</v>
      </c>
      <c r="I189">
        <f t="shared" si="27"/>
        <v>0.80509528512613671</v>
      </c>
    </row>
    <row r="190" spans="1:9" x14ac:dyDescent="0.2">
      <c r="A190">
        <v>17</v>
      </c>
      <c r="B190">
        <f t="shared" si="28"/>
        <v>38.027916964924842</v>
      </c>
      <c r="C190">
        <f t="shared" si="29"/>
        <v>0.4689739771230243</v>
      </c>
      <c r="D190">
        <f t="shared" si="22"/>
        <v>0.93962784707563884</v>
      </c>
      <c r="E190">
        <f t="shared" si="23"/>
        <v>0.28628382795773505</v>
      </c>
      <c r="F190">
        <f t="shared" si="24"/>
        <v>0.76874000000000009</v>
      </c>
      <c r="G190">
        <f t="shared" si="25"/>
        <v>0.99698852820575046</v>
      </c>
      <c r="H190">
        <f t="shared" si="26"/>
        <v>0.91952204854114417</v>
      </c>
      <c r="I190">
        <f t="shared" si="27"/>
        <v>0.81411268512613688</v>
      </c>
    </row>
    <row r="191" spans="1:9" x14ac:dyDescent="0.2">
      <c r="A191">
        <v>17.100000000000001</v>
      </c>
      <c r="B191">
        <f t="shared" si="28"/>
        <v>38.251610594130284</v>
      </c>
      <c r="C191">
        <f t="shared" si="29"/>
        <v>0.47350670684556989</v>
      </c>
      <c r="D191">
        <f t="shared" si="22"/>
        <v>0.95071480540964559</v>
      </c>
      <c r="E191">
        <f t="shared" si="23"/>
        <v>0.28894513092937202</v>
      </c>
      <c r="F191">
        <f t="shared" si="24"/>
        <v>0.77781060000000013</v>
      </c>
      <c r="G191">
        <f t="shared" si="25"/>
        <v>1.0087523028811196</v>
      </c>
      <c r="H191">
        <f t="shared" si="26"/>
        <v>0.93037177236649127</v>
      </c>
      <c r="I191">
        <f t="shared" si="27"/>
        <v>0.82318328512613692</v>
      </c>
    </row>
    <row r="192" spans="1:9" x14ac:dyDescent="0.2">
      <c r="A192">
        <v>17.2</v>
      </c>
      <c r="B192">
        <f t="shared" si="28"/>
        <v>38.475304223335712</v>
      </c>
      <c r="C192">
        <f t="shared" si="29"/>
        <v>0.47805643302285217</v>
      </c>
      <c r="D192">
        <f t="shared" si="22"/>
        <v>0.96186678989223862</v>
      </c>
      <c r="E192">
        <f t="shared" si="23"/>
        <v>0.29161735049280124</v>
      </c>
      <c r="F192">
        <f t="shared" si="24"/>
        <v>0.78693439999999992</v>
      </c>
      <c r="G192">
        <f t="shared" si="25"/>
        <v>1.0205850733023847</v>
      </c>
      <c r="H192">
        <f t="shared" si="26"/>
        <v>0.94128513093568178</v>
      </c>
      <c r="I192">
        <f t="shared" si="27"/>
        <v>0.83230708512613671</v>
      </c>
    </row>
    <row r="193" spans="1:9" x14ac:dyDescent="0.2">
      <c r="A193">
        <v>17.3</v>
      </c>
      <c r="B193">
        <f t="shared" si="28"/>
        <v>38.698997852541162</v>
      </c>
      <c r="C193">
        <f t="shared" si="29"/>
        <v>0.48262312001422703</v>
      </c>
      <c r="D193">
        <f t="shared" si="22"/>
        <v>0.97308380052341859</v>
      </c>
      <c r="E193">
        <f t="shared" si="23"/>
        <v>0.29430046756844169</v>
      </c>
      <c r="F193">
        <f t="shared" si="24"/>
        <v>0.79611140000000002</v>
      </c>
      <c r="G193">
        <f t="shared" si="25"/>
        <v>1.032486839469547</v>
      </c>
      <c r="H193">
        <f t="shared" si="26"/>
        <v>0.95226212424871637</v>
      </c>
      <c r="I193">
        <f t="shared" si="27"/>
        <v>0.84148408512613682</v>
      </c>
    </row>
    <row r="194" spans="1:9" x14ac:dyDescent="0.2">
      <c r="A194">
        <v>17.399999999999999</v>
      </c>
      <c r="B194">
        <f t="shared" si="28"/>
        <v>38.92269148174659</v>
      </c>
      <c r="C194">
        <f t="shared" si="29"/>
        <v>0.48720673245975382</v>
      </c>
      <c r="D194">
        <f t="shared" si="22"/>
        <v>0.98436583730318461</v>
      </c>
      <c r="E194">
        <f t="shared" si="23"/>
        <v>0.29699446322037809</v>
      </c>
      <c r="F194">
        <f t="shared" si="24"/>
        <v>0.80534159999999988</v>
      </c>
      <c r="G194">
        <f t="shared" si="25"/>
        <v>1.0444576013826055</v>
      </c>
      <c r="H194">
        <f t="shared" si="26"/>
        <v>0.96330275230559426</v>
      </c>
      <c r="I194">
        <f t="shared" si="27"/>
        <v>0.85071428512613667</v>
      </c>
    </row>
    <row r="195" spans="1:9" x14ac:dyDescent="0.2">
      <c r="A195">
        <v>17.5</v>
      </c>
      <c r="B195">
        <f t="shared" si="28"/>
        <v>39.146385110952039</v>
      </c>
      <c r="C195">
        <f t="shared" si="29"/>
        <v>0.4918072352763847</v>
      </c>
      <c r="D195">
        <f t="shared" si="22"/>
        <v>0.99571290023153769</v>
      </c>
      <c r="E195">
        <f t="shared" si="23"/>
        <v>0.29969931865445815</v>
      </c>
      <c r="F195">
        <f t="shared" si="24"/>
        <v>0.81462500000000004</v>
      </c>
      <c r="G195">
        <f t="shared" si="25"/>
        <v>1.0564973590415609</v>
      </c>
      <c r="H195">
        <f t="shared" si="26"/>
        <v>0.97440701510631622</v>
      </c>
      <c r="I195">
        <f t="shared" si="27"/>
        <v>0.85999768512613683</v>
      </c>
    </row>
    <row r="196" spans="1:9" x14ac:dyDescent="0.2">
      <c r="A196">
        <v>17.600000000000001</v>
      </c>
      <c r="B196">
        <f t="shared" si="28"/>
        <v>39.370078740157481</v>
      </c>
      <c r="C196">
        <f t="shared" si="29"/>
        <v>0.4964245936542187</v>
      </c>
      <c r="D196">
        <f t="shared" si="22"/>
        <v>1.0071249893084773</v>
      </c>
      <c r="E196">
        <f t="shared" si="23"/>
        <v>0.30241501521642528</v>
      </c>
      <c r="F196">
        <f t="shared" si="24"/>
        <v>0.82396160000000018</v>
      </c>
      <c r="G196">
        <f t="shared" si="25"/>
        <v>1.0686061124464128</v>
      </c>
      <c r="H196">
        <f t="shared" si="26"/>
        <v>0.98557491265088171</v>
      </c>
      <c r="I196">
        <f t="shared" si="27"/>
        <v>0.86933428512613697</v>
      </c>
    </row>
    <row r="197" spans="1:9" x14ac:dyDescent="0.2">
      <c r="A197">
        <v>17.7</v>
      </c>
      <c r="B197">
        <f t="shared" si="28"/>
        <v>39.593772369362924</v>
      </c>
      <c r="C197">
        <f t="shared" si="29"/>
        <v>0.50105877305283675</v>
      </c>
      <c r="D197">
        <f t="shared" si="22"/>
        <v>1.018602104534003</v>
      </c>
      <c r="E197">
        <f t="shared" si="23"/>
        <v>0.30514153439008651</v>
      </c>
      <c r="F197">
        <f t="shared" si="24"/>
        <v>0.83335139999999996</v>
      </c>
      <c r="G197">
        <f t="shared" si="25"/>
        <v>1.080783861597161</v>
      </c>
      <c r="H197">
        <f t="shared" si="26"/>
        <v>0.99680644493929049</v>
      </c>
      <c r="I197">
        <f t="shared" si="27"/>
        <v>0.87872408512613676</v>
      </c>
    </row>
    <row r="198" spans="1:9" x14ac:dyDescent="0.2">
      <c r="A198">
        <v>17.8</v>
      </c>
      <c r="B198">
        <f t="shared" si="28"/>
        <v>39.817465998568359</v>
      </c>
      <c r="C198">
        <f t="shared" si="29"/>
        <v>0.50570973919769913</v>
      </c>
      <c r="D198">
        <f t="shared" si="22"/>
        <v>1.0301442459081158</v>
      </c>
      <c r="E198">
        <f t="shared" si="23"/>
        <v>0.30787885779551605</v>
      </c>
      <c r="F198">
        <f t="shared" si="24"/>
        <v>0.84279440000000005</v>
      </c>
      <c r="G198">
        <f t="shared" si="25"/>
        <v>1.0930306064938062</v>
      </c>
      <c r="H198">
        <f t="shared" si="26"/>
        <v>1.0081016119715436</v>
      </c>
      <c r="I198">
        <f t="shared" si="27"/>
        <v>0.88816708512613685</v>
      </c>
    </row>
    <row r="199" spans="1:9" x14ac:dyDescent="0.2">
      <c r="A199">
        <v>17.899999999999999</v>
      </c>
      <c r="B199">
        <f t="shared" si="28"/>
        <v>40.041159627773801</v>
      </c>
      <c r="C199">
        <f t="shared" si="29"/>
        <v>0.51037745807661572</v>
      </c>
      <c r="D199">
        <f t="shared" si="22"/>
        <v>1.0417514134308146</v>
      </c>
      <c r="E199">
        <f t="shared" si="23"/>
        <v>0.31062696718728933</v>
      </c>
      <c r="F199">
        <f t="shared" si="24"/>
        <v>0.8522905999999999</v>
      </c>
      <c r="G199">
        <f t="shared" si="25"/>
        <v>1.1053463471363476</v>
      </c>
      <c r="H199">
        <f t="shared" si="26"/>
        <v>1.01946041374764</v>
      </c>
      <c r="I199">
        <f t="shared" si="27"/>
        <v>0.89766328512613669</v>
      </c>
    </row>
    <row r="200" spans="1:9" x14ac:dyDescent="0.2">
      <c r="A200">
        <v>18</v>
      </c>
      <c r="B200">
        <f t="shared" si="28"/>
        <v>40.264853256979237</v>
      </c>
      <c r="C200">
        <f t="shared" si="29"/>
        <v>0.5150618959362806</v>
      </c>
      <c r="D200">
        <f t="shared" si="22"/>
        <v>1.0534236071021004</v>
      </c>
      <c r="E200">
        <f t="shared" si="23"/>
        <v>0.3133858444527533</v>
      </c>
      <c r="F200">
        <f t="shared" si="24"/>
        <v>0.86183999999999994</v>
      </c>
      <c r="G200">
        <f t="shared" si="25"/>
        <v>1.117731083524786</v>
      </c>
      <c r="H200">
        <f t="shared" si="26"/>
        <v>1.0308828502675802</v>
      </c>
      <c r="I200">
        <f t="shared" si="27"/>
        <v>0.90721268512613673</v>
      </c>
    </row>
    <row r="201" spans="1:9" x14ac:dyDescent="0.2">
      <c r="A201">
        <v>18.100000000000001</v>
      </c>
      <c r="B201">
        <f t="shared" si="28"/>
        <v>40.488546886184679</v>
      </c>
      <c r="C201">
        <f t="shared" si="29"/>
        <v>0.51976301927886981</v>
      </c>
      <c r="D201">
        <f t="shared" si="22"/>
        <v>1.0651608269219726</v>
      </c>
      <c r="E201">
        <f t="shared" si="23"/>
        <v>0.31615547161032448</v>
      </c>
      <c r="F201">
        <f t="shared" si="24"/>
        <v>0.87144260000000018</v>
      </c>
      <c r="G201">
        <f t="shared" si="25"/>
        <v>1.1301848156591212</v>
      </c>
      <c r="H201">
        <f t="shared" si="26"/>
        <v>1.0423689215313643</v>
      </c>
      <c r="I201">
        <f t="shared" si="27"/>
        <v>0.91681528512613697</v>
      </c>
    </row>
    <row r="202" spans="1:9" x14ac:dyDescent="0.2">
      <c r="A202">
        <v>18.2</v>
      </c>
      <c r="B202">
        <f t="shared" si="28"/>
        <v>40.712240515390121</v>
      </c>
      <c r="C202">
        <f t="shared" si="29"/>
        <v>0.5244807948587058</v>
      </c>
      <c r="D202">
        <f t="shared" si="22"/>
        <v>1.0769630728904311</v>
      </c>
      <c r="E202">
        <f t="shared" si="23"/>
        <v>0.31893583080782117</v>
      </c>
      <c r="F202">
        <f t="shared" si="24"/>
        <v>0.88109839999999995</v>
      </c>
      <c r="G202">
        <f t="shared" si="25"/>
        <v>1.1427075435393519</v>
      </c>
      <c r="H202">
        <f t="shared" si="26"/>
        <v>1.0539186275389913</v>
      </c>
      <c r="I202">
        <f t="shared" si="27"/>
        <v>0.92647108512613674</v>
      </c>
    </row>
    <row r="203" spans="1:9" x14ac:dyDescent="0.2">
      <c r="A203">
        <v>18.3</v>
      </c>
      <c r="B203">
        <f t="shared" si="28"/>
        <v>40.935934144595556</v>
      </c>
      <c r="C203">
        <f t="shared" si="29"/>
        <v>0.52921518967898262</v>
      </c>
      <c r="D203">
        <f t="shared" si="22"/>
        <v>1.0888303450074766</v>
      </c>
      <c r="E203">
        <f t="shared" si="23"/>
        <v>0.32172690432082585</v>
      </c>
      <c r="F203">
        <f t="shared" si="24"/>
        <v>0.89080740000000025</v>
      </c>
      <c r="G203">
        <f t="shared" si="25"/>
        <v>1.1552992671654803</v>
      </c>
      <c r="H203">
        <f t="shared" si="26"/>
        <v>1.0655319682904629</v>
      </c>
      <c r="I203">
        <f t="shared" si="27"/>
        <v>0.93618008512613704</v>
      </c>
    </row>
    <row r="204" spans="1:9" x14ac:dyDescent="0.2">
      <c r="A204">
        <v>18.399999999999999</v>
      </c>
      <c r="B204">
        <f t="shared" si="28"/>
        <v>41.159627773800999</v>
      </c>
      <c r="C204">
        <f t="shared" si="29"/>
        <v>0.53396617098854859</v>
      </c>
      <c r="D204">
        <f t="shared" si="22"/>
        <v>1.1007626432731081</v>
      </c>
      <c r="E204">
        <f t="shared" si="23"/>
        <v>0.32452867455107437</v>
      </c>
      <c r="F204">
        <f t="shared" si="24"/>
        <v>0.90056959999999986</v>
      </c>
      <c r="G204">
        <f t="shared" si="25"/>
        <v>1.1679599865375045</v>
      </c>
      <c r="H204">
        <f t="shared" si="26"/>
        <v>1.0772089437857775</v>
      </c>
      <c r="I204">
        <f t="shared" si="27"/>
        <v>0.94594228512613665</v>
      </c>
    </row>
    <row r="205" spans="1:9" x14ac:dyDescent="0.2">
      <c r="A205">
        <v>18.5</v>
      </c>
      <c r="B205">
        <f t="shared" si="28"/>
        <v>41.383321403006448</v>
      </c>
      <c r="C205">
        <f t="shared" si="29"/>
        <v>0.53873370627875272</v>
      </c>
      <c r="D205">
        <f t="shared" si="22"/>
        <v>1.1127599676873265</v>
      </c>
      <c r="E205">
        <f t="shared" si="23"/>
        <v>0.32734112402487803</v>
      </c>
      <c r="F205">
        <f t="shared" si="24"/>
        <v>0.910385</v>
      </c>
      <c r="G205">
        <f t="shared" si="25"/>
        <v>1.1806897016554261</v>
      </c>
      <c r="H205">
        <f t="shared" si="26"/>
        <v>1.0889495540249363</v>
      </c>
      <c r="I205">
        <f t="shared" si="27"/>
        <v>0.95575768512613679</v>
      </c>
    </row>
    <row r="206" spans="1:9" x14ac:dyDescent="0.2">
      <c r="A206">
        <v>18.600000000000001</v>
      </c>
      <c r="B206">
        <f t="shared" si="28"/>
        <v>41.607015032211883</v>
      </c>
      <c r="C206">
        <f t="shared" si="29"/>
        <v>0.54351776328034351</v>
      </c>
      <c r="D206">
        <f t="shared" si="22"/>
        <v>1.1248223182501316</v>
      </c>
      <c r="E206">
        <f t="shared" si="23"/>
        <v>0.3301642353915698</v>
      </c>
      <c r="F206">
        <f t="shared" si="24"/>
        <v>0.92025360000000023</v>
      </c>
      <c r="G206">
        <f t="shared" si="25"/>
        <v>1.1934884125192438</v>
      </c>
      <c r="H206">
        <f t="shared" si="26"/>
        <v>1.1007537990079386</v>
      </c>
      <c r="I206">
        <f t="shared" si="27"/>
        <v>0.96562628512613702</v>
      </c>
    </row>
    <row r="207" spans="1:9" x14ac:dyDescent="0.2">
      <c r="A207">
        <v>18.7</v>
      </c>
      <c r="B207">
        <f t="shared" si="28"/>
        <v>41.830708661417326</v>
      </c>
      <c r="C207">
        <f t="shared" si="29"/>
        <v>0.5483183099604263</v>
      </c>
      <c r="D207">
        <f t="shared" si="22"/>
        <v>1.136949694961523</v>
      </c>
      <c r="E207">
        <f t="shared" si="23"/>
        <v>0.33299799142198205</v>
      </c>
      <c r="F207">
        <f t="shared" si="24"/>
        <v>0.9301754000000001</v>
      </c>
      <c r="G207">
        <f t="shared" si="25"/>
        <v>1.206356119128958</v>
      </c>
      <c r="H207">
        <f t="shared" si="26"/>
        <v>1.1126216787347842</v>
      </c>
      <c r="I207">
        <f t="shared" si="27"/>
        <v>0.97554808512613689</v>
      </c>
    </row>
    <row r="208" spans="1:9" x14ac:dyDescent="0.2">
      <c r="A208">
        <v>18.8</v>
      </c>
      <c r="B208">
        <f t="shared" si="28"/>
        <v>42.054402290622761</v>
      </c>
      <c r="C208">
        <f t="shared" si="29"/>
        <v>0.55313531451947728</v>
      </c>
      <c r="D208">
        <f t="shared" si="22"/>
        <v>1.1491420978215012</v>
      </c>
      <c r="E208">
        <f t="shared" si="23"/>
        <v>0.33584237500694825</v>
      </c>
      <c r="F208">
        <f t="shared" si="24"/>
        <v>0.94015040000000016</v>
      </c>
      <c r="G208">
        <f t="shared" si="25"/>
        <v>1.2192928214845693</v>
      </c>
      <c r="H208">
        <f t="shared" si="26"/>
        <v>1.1245531932054742</v>
      </c>
      <c r="I208">
        <f t="shared" si="27"/>
        <v>0.98552308512613696</v>
      </c>
    </row>
    <row r="209" spans="1:9" x14ac:dyDescent="0.2">
      <c r="A209">
        <v>18.899999999999999</v>
      </c>
      <c r="B209">
        <f t="shared" si="28"/>
        <v>42.278095919828203</v>
      </c>
      <c r="C209">
        <f t="shared" si="29"/>
        <v>0.55796874538840502</v>
      </c>
      <c r="D209">
        <f t="shared" si="22"/>
        <v>1.1613995268300652</v>
      </c>
      <c r="E209">
        <f t="shared" si="23"/>
        <v>0.33869736915583171</v>
      </c>
      <c r="F209">
        <f t="shared" si="24"/>
        <v>0.95017859999999987</v>
      </c>
      <c r="G209">
        <f t="shared" si="25"/>
        <v>1.2322985195860763</v>
      </c>
      <c r="H209">
        <f t="shared" si="26"/>
        <v>1.1365483424200069</v>
      </c>
      <c r="I209">
        <f t="shared" si="27"/>
        <v>0.99555128512613666</v>
      </c>
    </row>
    <row r="210" spans="1:9" x14ac:dyDescent="0.2">
      <c r="A210">
        <v>19</v>
      </c>
      <c r="B210">
        <f t="shared" si="28"/>
        <v>42.501789549033646</v>
      </c>
      <c r="C210">
        <f t="shared" si="29"/>
        <v>0.56281857122567347</v>
      </c>
      <c r="D210">
        <f t="shared" si="22"/>
        <v>1.1737219819872167</v>
      </c>
      <c r="E210">
        <f t="shared" si="23"/>
        <v>0.34156295699508199</v>
      </c>
      <c r="F210">
        <f t="shared" si="24"/>
        <v>0.96026000000000011</v>
      </c>
      <c r="G210">
        <f t="shared" si="25"/>
        <v>1.2453732134334807</v>
      </c>
      <c r="H210">
        <f t="shared" si="26"/>
        <v>1.1486071263783841</v>
      </c>
      <c r="I210">
        <f t="shared" si="27"/>
        <v>1.0056326851261368</v>
      </c>
    </row>
    <row r="211" spans="1:9" x14ac:dyDescent="0.2">
      <c r="A211">
        <v>19.100000000000001</v>
      </c>
      <c r="B211">
        <f t="shared" si="28"/>
        <v>42.725483178239088</v>
      </c>
      <c r="C211">
        <f t="shared" si="29"/>
        <v>0.56768476091446596</v>
      </c>
      <c r="D211">
        <f t="shared" si="22"/>
        <v>1.1861094632929545</v>
      </c>
      <c r="E211">
        <f t="shared" si="23"/>
        <v>0.34443912176681396</v>
      </c>
      <c r="F211">
        <f t="shared" si="24"/>
        <v>0.97039460000000022</v>
      </c>
      <c r="G211">
        <f t="shared" si="25"/>
        <v>1.2585169030267815</v>
      </c>
      <c r="H211">
        <f t="shared" si="26"/>
        <v>1.160729545080605</v>
      </c>
      <c r="I211">
        <f t="shared" si="27"/>
        <v>1.015767285126137</v>
      </c>
    </row>
    <row r="212" spans="1:9" x14ac:dyDescent="0.2">
      <c r="A212">
        <v>19.2</v>
      </c>
      <c r="B212">
        <f t="shared" si="28"/>
        <v>42.94917680744453</v>
      </c>
      <c r="C212">
        <f t="shared" si="29"/>
        <v>0.57256728355990516</v>
      </c>
      <c r="D212">
        <f t="shared" si="22"/>
        <v>1.1985619707472785</v>
      </c>
      <c r="E212">
        <f t="shared" si="23"/>
        <v>0.34732584682741141</v>
      </c>
      <c r="F212">
        <f t="shared" si="24"/>
        <v>0.98058239999999997</v>
      </c>
      <c r="G212">
        <f t="shared" si="25"/>
        <v>1.2717295883659787</v>
      </c>
      <c r="H212">
        <f t="shared" si="26"/>
        <v>1.1729155985266688</v>
      </c>
      <c r="I212">
        <f t="shared" si="27"/>
        <v>1.0259550851261368</v>
      </c>
    </row>
    <row r="213" spans="1:9" x14ac:dyDescent="0.2">
      <c r="A213">
        <v>19.3</v>
      </c>
      <c r="B213">
        <f t="shared" ref="B213:B220" si="30">A213*100/2.54/12/5280*60*60</f>
        <v>43.172870436649966</v>
      </c>
      <c r="C213">
        <f t="shared" ref="C213:C220" si="31">(0.45*(A213^1.64))/100</f>
        <v>0.57746610848632196</v>
      </c>
      <c r="D213">
        <f t="shared" si="22"/>
        <v>1.2110795043501894</v>
      </c>
      <c r="E213">
        <f t="shared" si="23"/>
        <v>0.35022311564615777</v>
      </c>
      <c r="F213">
        <f t="shared" si="24"/>
        <v>0.99082340000000002</v>
      </c>
      <c r="G213">
        <f t="shared" si="25"/>
        <v>1.2850112694510727</v>
      </c>
      <c r="H213">
        <f t="shared" si="26"/>
        <v>1.1851652867165769</v>
      </c>
      <c r="I213">
        <f t="shared" si="27"/>
        <v>1.0361960851261367</v>
      </c>
    </row>
    <row r="214" spans="1:9" x14ac:dyDescent="0.2">
      <c r="A214">
        <v>19.399999999999999</v>
      </c>
      <c r="B214">
        <f t="shared" si="30"/>
        <v>43.396564065855401</v>
      </c>
      <c r="C214">
        <f t="shared" si="31"/>
        <v>0.58238120523456949</v>
      </c>
      <c r="D214">
        <f t="shared" ref="D214:D220" si="32">(0.31*(A214)^2*SQRT(660/600))/100</f>
        <v>1.2236620641016864</v>
      </c>
      <c r="E214">
        <f t="shared" ref="E214:E220" si="33">(2.07+0.215*(A214)^1.7)/100</f>
        <v>0.35313091180388667</v>
      </c>
      <c r="F214">
        <f t="shared" ref="F214:F220" si="34">(0.266*(A214)^2)/100</f>
        <v>1.0011175999999999</v>
      </c>
      <c r="G214">
        <f t="shared" ref="G214:G220" si="35">(0.251*(A214)^2*($B$7/660)^(-0.5))/100</f>
        <v>1.298361946282063</v>
      </c>
      <c r="H214">
        <f t="shared" ref="H214:H220" si="36">(0.251*(A214)^2*($B$8/660)^(-0.5))/100</f>
        <v>1.1974786096503285</v>
      </c>
      <c r="I214">
        <f t="shared" ref="I214:I220" si="37">(0.77*($B$17)^0.5*($B$18)+0.266*(A214)^2)/100</f>
        <v>1.0464902851261366</v>
      </c>
    </row>
    <row r="215" spans="1:9" x14ac:dyDescent="0.2">
      <c r="A215">
        <v>19.5</v>
      </c>
      <c r="B215">
        <f t="shared" si="30"/>
        <v>43.620257695060843</v>
      </c>
      <c r="C215">
        <f t="shared" si="31"/>
        <v>0.58731254355938356</v>
      </c>
      <c r="D215">
        <f t="shared" si="32"/>
        <v>1.2363096500017705</v>
      </c>
      <c r="E215">
        <f t="shared" si="33"/>
        <v>0.35604921899165726</v>
      </c>
      <c r="F215">
        <f t="shared" si="34"/>
        <v>1.0114650000000001</v>
      </c>
      <c r="G215">
        <f t="shared" si="35"/>
        <v>1.3117816188589504</v>
      </c>
      <c r="H215">
        <f t="shared" si="36"/>
        <v>1.2098555673279241</v>
      </c>
      <c r="I215">
        <f t="shared" si="37"/>
        <v>1.0568376851261367</v>
      </c>
    </row>
    <row r="216" spans="1:9" x14ac:dyDescent="0.2">
      <c r="A216">
        <v>19.600000000000001</v>
      </c>
      <c r="B216">
        <f t="shared" si="30"/>
        <v>43.843951324266285</v>
      </c>
      <c r="C216">
        <f t="shared" si="31"/>
        <v>0.59226009342679331</v>
      </c>
      <c r="D216">
        <f t="shared" si="32"/>
        <v>1.2490222620504412</v>
      </c>
      <c r="E216">
        <f t="shared" si="33"/>
        <v>0.35897802100945309</v>
      </c>
      <c r="F216">
        <f t="shared" si="34"/>
        <v>1.0218656000000004</v>
      </c>
      <c r="G216">
        <f t="shared" si="35"/>
        <v>1.3252702871817339</v>
      </c>
      <c r="H216">
        <f t="shared" si="36"/>
        <v>1.2222961597493631</v>
      </c>
      <c r="I216">
        <f t="shared" si="37"/>
        <v>1.0672382851261371</v>
      </c>
    </row>
    <row r="217" spans="1:9" x14ac:dyDescent="0.2">
      <c r="A217">
        <v>19.7</v>
      </c>
      <c r="B217">
        <f t="shared" si="30"/>
        <v>44.067644953471728</v>
      </c>
      <c r="C217">
        <f t="shared" si="31"/>
        <v>0.59722382501156612</v>
      </c>
      <c r="D217">
        <f t="shared" si="32"/>
        <v>1.2617999002476978</v>
      </c>
      <c r="E217">
        <f t="shared" si="33"/>
        <v>0.36191730176489811</v>
      </c>
      <c r="F217">
        <f t="shared" si="34"/>
        <v>1.0323194</v>
      </c>
      <c r="G217">
        <f t="shared" si="35"/>
        <v>1.3388279512504142</v>
      </c>
      <c r="H217">
        <f t="shared" si="36"/>
        <v>1.2348003869146458</v>
      </c>
      <c r="I217">
        <f t="shared" si="37"/>
        <v>1.0776920851261367</v>
      </c>
    </row>
    <row r="218" spans="1:9" x14ac:dyDescent="0.2">
      <c r="A218">
        <v>19.8</v>
      </c>
      <c r="B218">
        <f t="shared" si="30"/>
        <v>44.291338582677163</v>
      </c>
      <c r="C218">
        <f t="shared" si="31"/>
        <v>0.60220370869471285</v>
      </c>
      <c r="D218">
        <f t="shared" si="32"/>
        <v>1.2746425645935415</v>
      </c>
      <c r="E218">
        <f t="shared" si="33"/>
        <v>0.36486704527200287</v>
      </c>
      <c r="F218">
        <f t="shared" si="34"/>
        <v>1.0428264</v>
      </c>
      <c r="G218">
        <f t="shared" si="35"/>
        <v>1.3524546110649911</v>
      </c>
      <c r="H218">
        <f t="shared" si="36"/>
        <v>1.2473682488237721</v>
      </c>
      <c r="I218">
        <f t="shared" si="37"/>
        <v>1.0881990851261369</v>
      </c>
    </row>
    <row r="219" spans="1:9" x14ac:dyDescent="0.2">
      <c r="A219">
        <v>19.899999999999999</v>
      </c>
      <c r="B219">
        <f t="shared" si="30"/>
        <v>44.515032211882598</v>
      </c>
      <c r="C219">
        <f t="shared" si="31"/>
        <v>0.60719971506101478</v>
      </c>
      <c r="D219">
        <f t="shared" si="32"/>
        <v>1.2875502550879714</v>
      </c>
      <c r="E219">
        <f t="shared" si="33"/>
        <v>0.36782723564992159</v>
      </c>
      <c r="F219">
        <f t="shared" si="34"/>
        <v>1.0533865999999998</v>
      </c>
      <c r="G219">
        <f t="shared" si="35"/>
        <v>1.3661502666254643</v>
      </c>
      <c r="H219">
        <f t="shared" si="36"/>
        <v>1.2599997454767418</v>
      </c>
      <c r="I219">
        <f t="shared" si="37"/>
        <v>1.0987592851261367</v>
      </c>
    </row>
    <row r="220" spans="1:9" x14ac:dyDescent="0.2">
      <c r="A220">
        <v>20</v>
      </c>
      <c r="B220">
        <f t="shared" si="30"/>
        <v>44.738725841088048</v>
      </c>
      <c r="C220">
        <f t="shared" si="31"/>
        <v>0.61221181489661181</v>
      </c>
      <c r="D220">
        <f t="shared" si="32"/>
        <v>1.3005229717309879</v>
      </c>
      <c r="E220">
        <f t="shared" si="33"/>
        <v>0.37079785712173774</v>
      </c>
      <c r="F220">
        <f t="shared" si="34"/>
        <v>1.0640000000000001</v>
      </c>
      <c r="G220">
        <f t="shared" si="35"/>
        <v>1.3799149179318346</v>
      </c>
      <c r="H220">
        <f t="shared" si="36"/>
        <v>1.272694876873556</v>
      </c>
      <c r="I220">
        <f t="shared" si="37"/>
        <v>1.1093726851261367</v>
      </c>
    </row>
  </sheetData>
  <pageMargins left="0.7" right="0.7" top="0.75" bottom="0.75" header="0.3" footer="0.3"/>
  <pageSetup orientation="portrait" horizontalDpi="0" verticalDpi="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06700-E111-DE43-B33A-0FFDF32F9AB3}">
  <dimension ref="A1:M11"/>
  <sheetViews>
    <sheetView workbookViewId="0">
      <selection activeCell="D3" sqref="D3"/>
    </sheetView>
  </sheetViews>
  <sheetFormatPr baseColWidth="10" defaultRowHeight="16" x14ac:dyDescent="0.2"/>
  <cols>
    <col min="1" max="1" width="14.33203125" bestFit="1" customWidth="1"/>
    <col min="2" max="2" width="15.6640625" bestFit="1" customWidth="1"/>
    <col min="3" max="3" width="11.33203125" bestFit="1" customWidth="1"/>
    <col min="4" max="4" width="13.1640625" bestFit="1" customWidth="1"/>
    <col min="5" max="5" width="17" bestFit="1" customWidth="1"/>
    <col min="6" max="6" width="15.83203125" bestFit="1" customWidth="1"/>
    <col min="11" max="11" width="14.6640625" bestFit="1" customWidth="1"/>
    <col min="12" max="12" width="15.33203125" bestFit="1" customWidth="1"/>
    <col min="13" max="13" width="63.33203125" bestFit="1" customWidth="1"/>
  </cols>
  <sheetData>
    <row r="1" spans="1:13" x14ac:dyDescent="0.2">
      <c r="A1" t="s">
        <v>67</v>
      </c>
    </row>
    <row r="2" spans="1:13" x14ac:dyDescent="0.2">
      <c r="A2" s="1" t="s">
        <v>28</v>
      </c>
      <c r="B2" s="7" t="s">
        <v>29</v>
      </c>
      <c r="C2" s="1" t="s">
        <v>30</v>
      </c>
      <c r="D2" s="1" t="s">
        <v>31</v>
      </c>
      <c r="E2" s="1" t="s">
        <v>32</v>
      </c>
      <c r="F2" s="1" t="s">
        <v>33</v>
      </c>
      <c r="G2" s="1" t="s">
        <v>34</v>
      </c>
      <c r="H2" s="7" t="s">
        <v>35</v>
      </c>
      <c r="I2" s="1" t="s">
        <v>36</v>
      </c>
      <c r="J2" s="7" t="s">
        <v>37</v>
      </c>
      <c r="K2" s="7" t="s">
        <v>38</v>
      </c>
      <c r="L2" s="8" t="s">
        <v>39</v>
      </c>
      <c r="M2" s="7" t="s">
        <v>40</v>
      </c>
    </row>
    <row r="3" spans="1:13" x14ac:dyDescent="0.2">
      <c r="A3">
        <v>141115</v>
      </c>
      <c r="B3" t="s">
        <v>41</v>
      </c>
      <c r="C3" t="s">
        <v>42</v>
      </c>
      <c r="D3" t="s">
        <v>43</v>
      </c>
      <c r="E3" t="s">
        <v>44</v>
      </c>
      <c r="F3">
        <v>2.2999999999999998</v>
      </c>
      <c r="G3" s="9">
        <v>0.56458333333333333</v>
      </c>
      <c r="H3">
        <v>141115</v>
      </c>
      <c r="I3" s="9">
        <v>0.98125000000000007</v>
      </c>
      <c r="J3">
        <v>141115</v>
      </c>
      <c r="K3" s="9" t="s">
        <v>45</v>
      </c>
      <c r="L3">
        <v>0.1</v>
      </c>
      <c r="M3" t="s">
        <v>46</v>
      </c>
    </row>
    <row r="4" spans="1:13" x14ac:dyDescent="0.2">
      <c r="K4" t="s">
        <v>45</v>
      </c>
      <c r="L4">
        <v>1</v>
      </c>
    </row>
    <row r="5" spans="1:13" x14ac:dyDescent="0.2">
      <c r="A5">
        <v>141115</v>
      </c>
      <c r="B5" t="s">
        <v>47</v>
      </c>
      <c r="C5" t="s">
        <v>48</v>
      </c>
      <c r="D5" t="s">
        <v>49</v>
      </c>
      <c r="E5" t="s">
        <v>50</v>
      </c>
      <c r="F5">
        <v>1.4</v>
      </c>
      <c r="G5" s="9">
        <v>0.56944444444444442</v>
      </c>
      <c r="H5">
        <v>141115</v>
      </c>
      <c r="I5" s="9">
        <v>0.98611111111111116</v>
      </c>
      <c r="J5">
        <v>141115</v>
      </c>
      <c r="K5" t="s">
        <v>51</v>
      </c>
      <c r="L5">
        <v>0.1</v>
      </c>
    </row>
    <row r="6" spans="1:13" x14ac:dyDescent="0.2">
      <c r="K6" t="s">
        <v>52</v>
      </c>
      <c r="L6">
        <v>0.5</v>
      </c>
    </row>
    <row r="7" spans="1:13" x14ac:dyDescent="0.2">
      <c r="K7" t="s">
        <v>51</v>
      </c>
      <c r="L7">
        <v>1</v>
      </c>
    </row>
    <row r="8" spans="1:13" x14ac:dyDescent="0.2">
      <c r="A8">
        <v>141115</v>
      </c>
      <c r="B8" t="s">
        <v>53</v>
      </c>
      <c r="C8" t="s">
        <v>54</v>
      </c>
      <c r="D8" t="s">
        <v>55</v>
      </c>
      <c r="E8" t="s">
        <v>56</v>
      </c>
      <c r="F8">
        <v>0.5</v>
      </c>
      <c r="G8" s="9">
        <v>0.57291666666666663</v>
      </c>
      <c r="H8">
        <v>141115</v>
      </c>
      <c r="I8" s="9">
        <v>0.98958333333333337</v>
      </c>
      <c r="J8">
        <v>141115</v>
      </c>
      <c r="K8" t="s">
        <v>57</v>
      </c>
      <c r="L8" t="s">
        <v>58</v>
      </c>
      <c r="M8" t="s">
        <v>59</v>
      </c>
    </row>
    <row r="9" spans="1:13" x14ac:dyDescent="0.2">
      <c r="A9">
        <v>141115</v>
      </c>
      <c r="B9" t="s">
        <v>60</v>
      </c>
      <c r="C9" t="s">
        <v>61</v>
      </c>
      <c r="D9" t="s">
        <v>62</v>
      </c>
      <c r="E9" t="s">
        <v>63</v>
      </c>
      <c r="F9">
        <v>2.6</v>
      </c>
      <c r="G9" s="9">
        <v>0.63194444444444442</v>
      </c>
      <c r="H9">
        <v>141115</v>
      </c>
      <c r="I9" s="9">
        <v>4.8611111111111112E-2</v>
      </c>
      <c r="J9">
        <v>141116</v>
      </c>
      <c r="K9" t="s">
        <v>64</v>
      </c>
      <c r="L9">
        <v>0.1</v>
      </c>
    </row>
    <row r="10" spans="1:13" x14ac:dyDescent="0.2">
      <c r="K10" t="s">
        <v>65</v>
      </c>
      <c r="L10">
        <v>0.1</v>
      </c>
    </row>
    <row r="11" spans="1:13" x14ac:dyDescent="0.2">
      <c r="K11" t="s">
        <v>66</v>
      </c>
      <c r="L11">
        <v>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ED822-EBC8-1242-8DEE-3004857B089F}">
  <dimension ref="A1:D17"/>
  <sheetViews>
    <sheetView workbookViewId="0">
      <selection activeCell="F7" sqref="F7"/>
    </sheetView>
  </sheetViews>
  <sheetFormatPr baseColWidth="10" defaultRowHeight="16" x14ac:dyDescent="0.2"/>
  <cols>
    <col min="1" max="1" width="37.5" bestFit="1" customWidth="1"/>
    <col min="2" max="2" width="15.6640625" bestFit="1" customWidth="1"/>
    <col min="3" max="3" width="40.1640625" bestFit="1" customWidth="1"/>
    <col min="4" max="4" width="34.6640625" bestFit="1" customWidth="1"/>
  </cols>
  <sheetData>
    <row r="1" spans="1:4" x14ac:dyDescent="0.2">
      <c r="A1" t="s">
        <v>14</v>
      </c>
      <c r="B1" t="s">
        <v>0</v>
      </c>
      <c r="C1" t="s">
        <v>1</v>
      </c>
      <c r="D1" t="s">
        <v>2</v>
      </c>
    </row>
    <row r="2" spans="1:4" x14ac:dyDescent="0.2">
      <c r="B2">
        <v>166.68</v>
      </c>
      <c r="C2">
        <v>171.89</v>
      </c>
      <c r="D2">
        <f>((C2-B2)/C2)*100</f>
        <v>3.0310082029204608</v>
      </c>
    </row>
    <row r="3" spans="1:4" x14ac:dyDescent="0.2">
      <c r="B3">
        <v>206.45</v>
      </c>
      <c r="C3">
        <v>206.96</v>
      </c>
      <c r="D3">
        <f t="shared" ref="D3:D15" si="0">((C3-B3)/C3)*100</f>
        <v>0.2464244298415246</v>
      </c>
    </row>
    <row r="4" spans="1:4" x14ac:dyDescent="0.2">
      <c r="B4">
        <v>243.64</v>
      </c>
      <c r="C4">
        <v>243.25</v>
      </c>
      <c r="D4">
        <f t="shared" si="0"/>
        <v>-0.16032887975333457</v>
      </c>
    </row>
    <row r="5" spans="1:4" x14ac:dyDescent="0.2">
      <c r="B5">
        <v>260.45999999999998</v>
      </c>
      <c r="C5">
        <v>263.02999999999997</v>
      </c>
      <c r="D5">
        <f t="shared" si="0"/>
        <v>0.97707485838117081</v>
      </c>
    </row>
    <row r="6" spans="1:4" x14ac:dyDescent="0.2">
      <c r="B6">
        <v>262.72000000000003</v>
      </c>
      <c r="C6">
        <v>265.35000000000002</v>
      </c>
      <c r="D6">
        <f t="shared" si="0"/>
        <v>0.99114377237610518</v>
      </c>
    </row>
    <row r="7" spans="1:4" x14ac:dyDescent="0.2">
      <c r="B7">
        <v>265.83</v>
      </c>
      <c r="C7">
        <v>265.48</v>
      </c>
      <c r="D7">
        <f t="shared" si="0"/>
        <v>-0.1318366731957081</v>
      </c>
    </row>
    <row r="8" spans="1:4" x14ac:dyDescent="0.2">
      <c r="B8">
        <v>224.48</v>
      </c>
      <c r="C8">
        <v>225.89</v>
      </c>
      <c r="D8">
        <f t="shared" si="0"/>
        <v>0.62419761830979537</v>
      </c>
    </row>
    <row r="9" spans="1:4" x14ac:dyDescent="0.2">
      <c r="B9">
        <v>184.5</v>
      </c>
      <c r="C9">
        <v>184.68</v>
      </c>
      <c r="D9">
        <f t="shared" si="0"/>
        <v>9.7465886939574836E-2</v>
      </c>
    </row>
    <row r="10" spans="1:4" x14ac:dyDescent="0.2">
      <c r="B10">
        <v>166.67</v>
      </c>
      <c r="C10">
        <v>168.91</v>
      </c>
      <c r="D10">
        <f t="shared" si="0"/>
        <v>1.3261500207210997</v>
      </c>
    </row>
    <row r="11" spans="1:4" x14ac:dyDescent="0.2">
      <c r="B11">
        <v>173.17</v>
      </c>
      <c r="C11">
        <v>176.48</v>
      </c>
      <c r="D11">
        <f t="shared" si="0"/>
        <v>1.8755666364460577</v>
      </c>
    </row>
    <row r="12" spans="1:4" x14ac:dyDescent="0.2">
      <c r="B12">
        <v>168.48</v>
      </c>
      <c r="C12">
        <v>182.3</v>
      </c>
      <c r="D12">
        <f t="shared" si="0"/>
        <v>7.5809105869446087</v>
      </c>
    </row>
    <row r="13" spans="1:4" x14ac:dyDescent="0.2">
      <c r="B13">
        <v>164.29</v>
      </c>
      <c r="C13">
        <v>167.11</v>
      </c>
      <c r="D13">
        <f t="shared" si="0"/>
        <v>1.6875112201544022</v>
      </c>
    </row>
    <row r="14" spans="1:4" x14ac:dyDescent="0.2">
      <c r="B14">
        <v>179.97</v>
      </c>
      <c r="C14">
        <v>195.92</v>
      </c>
      <c r="D14">
        <f t="shared" si="0"/>
        <v>8.1410779910167363</v>
      </c>
    </row>
    <row r="15" spans="1:4" x14ac:dyDescent="0.2">
      <c r="B15">
        <v>199.94</v>
      </c>
      <c r="C15">
        <v>203.67</v>
      </c>
      <c r="D15">
        <f t="shared" si="0"/>
        <v>1.8313939215397406</v>
      </c>
    </row>
    <row r="16" spans="1:4" x14ac:dyDescent="0.2">
      <c r="C16" s="1" t="s">
        <v>3</v>
      </c>
      <c r="D16" s="1">
        <f>AVERAGE(D2:D15)</f>
        <v>2.0084113994744452</v>
      </c>
    </row>
    <row r="17" spans="3:4" x14ac:dyDescent="0.2">
      <c r="C17" s="1" t="s">
        <v>4</v>
      </c>
      <c r="D17" s="1">
        <f>(D16/100)*200</f>
        <v>4.0168227989488905</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5E54D-0DCD-1B4F-A34F-06A3EF83BD86}">
  <dimension ref="A1:C78"/>
  <sheetViews>
    <sheetView workbookViewId="0">
      <selection activeCell="I41" sqref="I41"/>
    </sheetView>
  </sheetViews>
  <sheetFormatPr baseColWidth="10" defaultRowHeight="16" x14ac:dyDescent="0.2"/>
  <cols>
    <col min="1" max="1" width="43.6640625" bestFit="1" customWidth="1"/>
    <col min="2" max="2" width="17" bestFit="1" customWidth="1"/>
    <col min="3" max="3" width="16.33203125" bestFit="1" customWidth="1"/>
  </cols>
  <sheetData>
    <row r="1" spans="1:3" x14ac:dyDescent="0.2">
      <c r="A1" s="3"/>
      <c r="B1" t="s">
        <v>5</v>
      </c>
      <c r="C1" t="s">
        <v>9</v>
      </c>
    </row>
    <row r="2" spans="1:3" x14ac:dyDescent="0.2">
      <c r="A2" t="s">
        <v>8</v>
      </c>
      <c r="B2">
        <v>2036.93</v>
      </c>
      <c r="C2">
        <v>2209.48</v>
      </c>
    </row>
    <row r="3" spans="1:3" x14ac:dyDescent="0.2">
      <c r="B3">
        <v>2035.91</v>
      </c>
      <c r="C3">
        <v>2207.2600000000002</v>
      </c>
    </row>
    <row r="4" spans="1:3" x14ac:dyDescent="0.2">
      <c r="B4">
        <v>2034.89</v>
      </c>
      <c r="C4">
        <v>2208.64</v>
      </c>
    </row>
    <row r="5" spans="1:3" x14ac:dyDescent="0.2">
      <c r="B5">
        <v>2034.44</v>
      </c>
      <c r="C5">
        <v>2204.04</v>
      </c>
    </row>
    <row r="6" spans="1:3" x14ac:dyDescent="0.2">
      <c r="B6">
        <v>2036.61</v>
      </c>
    </row>
    <row r="8" spans="1:3" x14ac:dyDescent="0.2">
      <c r="A8" s="1" t="s">
        <v>6</v>
      </c>
      <c r="B8" s="4">
        <f>STDEV(B2:B6)</f>
        <v>1.0739087484511529</v>
      </c>
      <c r="C8" s="4">
        <f>STDEV(C2:C5)</f>
        <v>2.3920075250717723</v>
      </c>
    </row>
    <row r="9" spans="1:3" x14ac:dyDescent="0.2">
      <c r="A9" s="1" t="s">
        <v>7</v>
      </c>
      <c r="B9" s="4">
        <f>2*B8</f>
        <v>2.1478174969023058</v>
      </c>
      <c r="C9" s="4">
        <f>2*C8</f>
        <v>4.7840150501435446</v>
      </c>
    </row>
    <row r="10" spans="1:3" x14ac:dyDescent="0.2">
      <c r="A10" s="1" t="s">
        <v>10</v>
      </c>
      <c r="B10" s="4">
        <v>2030.39</v>
      </c>
      <c r="C10" s="1">
        <v>2212.44</v>
      </c>
    </row>
    <row r="11" spans="1:3" x14ac:dyDescent="0.2">
      <c r="A11" s="1" t="s">
        <v>3</v>
      </c>
      <c r="B11" s="4">
        <f>ABS(((B10-AVERAGE(B2:B7))/B10)*100)</f>
        <v>0.26428420155733556</v>
      </c>
      <c r="C11" s="4">
        <f>ABS(((C10-AVERAGE(C2:C5))/C10)*100)</f>
        <v>0.22983674133538043</v>
      </c>
    </row>
    <row r="12" spans="1:3" x14ac:dyDescent="0.2">
      <c r="A12" s="1" t="s">
        <v>4</v>
      </c>
      <c r="B12" s="4">
        <f>B10*(B11/100)</f>
        <v>5.3659999999999863</v>
      </c>
      <c r="C12" s="4">
        <f>C10*(C11/100)</f>
        <v>5.0850000000004911</v>
      </c>
    </row>
    <row r="14" spans="1:3" x14ac:dyDescent="0.2">
      <c r="A14" s="5" t="s">
        <v>11</v>
      </c>
      <c r="B14">
        <v>2010.26</v>
      </c>
      <c r="C14">
        <v>2233.2800000000002</v>
      </c>
    </row>
    <row r="15" spans="1:3" x14ac:dyDescent="0.2">
      <c r="B15">
        <v>2015.21</v>
      </c>
      <c r="C15">
        <v>2237.12</v>
      </c>
    </row>
    <row r="16" spans="1:3" x14ac:dyDescent="0.2">
      <c r="B16">
        <v>2011.84</v>
      </c>
    </row>
    <row r="17" spans="1:3" x14ac:dyDescent="0.2">
      <c r="B17">
        <v>2015.99</v>
      </c>
    </row>
    <row r="18" spans="1:3" x14ac:dyDescent="0.2">
      <c r="B18">
        <v>2011.71</v>
      </c>
    </row>
    <row r="20" spans="1:3" x14ac:dyDescent="0.2">
      <c r="A20" s="1" t="s">
        <v>6</v>
      </c>
      <c r="B20" s="4">
        <f>STDEV(B14:B19)</f>
        <v>2.4668542721450106</v>
      </c>
      <c r="C20" s="4">
        <f>STDEV(C14:C15)</f>
        <v>2.7152900397561237</v>
      </c>
    </row>
    <row r="21" spans="1:3" x14ac:dyDescent="0.2">
      <c r="A21" s="1" t="s">
        <v>7</v>
      </c>
      <c r="B21" s="4">
        <f>2*B20</f>
        <v>4.9337085442900213</v>
      </c>
      <c r="C21" s="4">
        <f>2*C20</f>
        <v>5.4305800795122474</v>
      </c>
    </row>
    <row r="22" spans="1:3" x14ac:dyDescent="0.2">
      <c r="A22" s="1" t="s">
        <v>10</v>
      </c>
      <c r="B22" s="4">
        <v>2014.52</v>
      </c>
      <c r="C22" s="1">
        <v>2231.39</v>
      </c>
    </row>
    <row r="23" spans="1:3" x14ac:dyDescent="0.2">
      <c r="A23" s="1" t="s">
        <v>3</v>
      </c>
      <c r="B23" s="4">
        <f>ABS(((B22-AVERAGE(B14:B19))/B22)*100)</f>
        <v>7.5352937672499107E-2</v>
      </c>
      <c r="C23" s="4">
        <f>ABS(((C22-AVERAGE(C14:C15))/C22)*100)</f>
        <v>0.17074558907227985</v>
      </c>
    </row>
    <row r="24" spans="1:3" x14ac:dyDescent="0.2">
      <c r="A24" s="1" t="s">
        <v>4</v>
      </c>
      <c r="B24" s="4">
        <f>B22*(B23/100)</f>
        <v>1.5180000000000291</v>
      </c>
      <c r="C24" s="4">
        <f>C22*(C23/100)</f>
        <v>3.8099999999999454</v>
      </c>
    </row>
    <row r="26" spans="1:3" x14ac:dyDescent="0.2">
      <c r="A26" s="5" t="s">
        <v>12</v>
      </c>
      <c r="B26" s="2">
        <v>2035.43</v>
      </c>
      <c r="C26">
        <v>2241.6799999999998</v>
      </c>
    </row>
    <row r="27" spans="1:3" x14ac:dyDescent="0.2">
      <c r="B27" s="2">
        <v>2033.52</v>
      </c>
      <c r="C27">
        <v>2242.0500000000002</v>
      </c>
    </row>
    <row r="28" spans="1:3" x14ac:dyDescent="0.2">
      <c r="B28" s="2">
        <v>2032.03</v>
      </c>
      <c r="C28">
        <v>2241.56</v>
      </c>
    </row>
    <row r="29" spans="1:3" x14ac:dyDescent="0.2">
      <c r="B29" s="2">
        <v>2033.57</v>
      </c>
      <c r="C29">
        <v>2240.77</v>
      </c>
    </row>
    <row r="30" spans="1:3" x14ac:dyDescent="0.2">
      <c r="B30" s="2">
        <v>2032.25</v>
      </c>
      <c r="C30">
        <v>2241.21</v>
      </c>
    </row>
    <row r="31" spans="1:3" x14ac:dyDescent="0.2">
      <c r="B31" s="2">
        <v>2035.73</v>
      </c>
      <c r="C31">
        <v>2242.4299999999998</v>
      </c>
    </row>
    <row r="32" spans="1:3" x14ac:dyDescent="0.2">
      <c r="B32" s="2">
        <v>2033.8</v>
      </c>
    </row>
    <row r="33" spans="1:3" x14ac:dyDescent="0.2">
      <c r="B33" s="2">
        <v>2034.44</v>
      </c>
      <c r="C33">
        <v>2239.77</v>
      </c>
    </row>
    <row r="34" spans="1:3" x14ac:dyDescent="0.2">
      <c r="B34" s="2">
        <v>2033.6</v>
      </c>
      <c r="C34">
        <v>2239.62</v>
      </c>
    </row>
    <row r="35" spans="1:3" x14ac:dyDescent="0.2">
      <c r="B35" s="2">
        <v>2030.26</v>
      </c>
      <c r="C35">
        <v>2240.9299999999998</v>
      </c>
    </row>
    <row r="36" spans="1:3" x14ac:dyDescent="0.2">
      <c r="B36" s="2">
        <v>2034.93</v>
      </c>
      <c r="C36">
        <v>2239.5300000000002</v>
      </c>
    </row>
    <row r="37" spans="1:3" x14ac:dyDescent="0.2">
      <c r="B37" s="2">
        <v>2031.52</v>
      </c>
      <c r="C37">
        <v>2238.9699999999998</v>
      </c>
    </row>
    <row r="38" spans="1:3" x14ac:dyDescent="0.2">
      <c r="B38" s="2">
        <v>2036.62</v>
      </c>
      <c r="C38">
        <v>2238.9699999999998</v>
      </c>
    </row>
    <row r="39" spans="1:3" x14ac:dyDescent="0.2">
      <c r="B39" s="2">
        <v>2034.03</v>
      </c>
      <c r="C39">
        <v>2239</v>
      </c>
    </row>
    <row r="40" spans="1:3" x14ac:dyDescent="0.2">
      <c r="B40" s="2">
        <v>2034.5</v>
      </c>
      <c r="C40">
        <v>2240.4</v>
      </c>
    </row>
    <row r="41" spans="1:3" x14ac:dyDescent="0.2">
      <c r="B41" s="2">
        <v>2033.92</v>
      </c>
      <c r="C41">
        <v>2241.8200000000002</v>
      </c>
    </row>
    <row r="42" spans="1:3" x14ac:dyDescent="0.2">
      <c r="B42" s="2">
        <v>2032.73</v>
      </c>
      <c r="C42">
        <v>2241.33</v>
      </c>
    </row>
    <row r="43" spans="1:3" x14ac:dyDescent="0.2">
      <c r="C43">
        <v>2240.16</v>
      </c>
    </row>
    <row r="44" spans="1:3" x14ac:dyDescent="0.2">
      <c r="A44" s="1" t="s">
        <v>6</v>
      </c>
      <c r="B44" s="4">
        <f>STDEV(B26:B42)</f>
        <v>1.6004994624840627</v>
      </c>
      <c r="C44" s="4">
        <f>STDEV(C26:C43)</f>
        <v>1.1448853654406002</v>
      </c>
    </row>
    <row r="45" spans="1:3" x14ac:dyDescent="0.2">
      <c r="A45" s="1" t="s">
        <v>7</v>
      </c>
      <c r="B45" s="4">
        <f>2*B44</f>
        <v>3.2009989249681254</v>
      </c>
      <c r="C45" s="4">
        <f>2*C44</f>
        <v>2.2897707308812003</v>
      </c>
    </row>
    <row r="46" spans="1:3" x14ac:dyDescent="0.2">
      <c r="A46" s="1" t="s">
        <v>10</v>
      </c>
      <c r="B46" s="4">
        <v>2031.53</v>
      </c>
      <c r="C46" s="1">
        <v>2238.6</v>
      </c>
    </row>
    <row r="47" spans="1:3" x14ac:dyDescent="0.2">
      <c r="A47" s="1" t="s">
        <v>3</v>
      </c>
      <c r="B47" s="4">
        <f>ABS(((B46-AVERAGE(B26:B42))/B46)*100)</f>
        <v>0.10675813448049554</v>
      </c>
      <c r="C47" s="4">
        <f>ABS(((C46-AVERAGE(C26:C43))/C46)*100)</f>
        <v>8.9341552756227544E-2</v>
      </c>
    </row>
    <row r="48" spans="1:3" x14ac:dyDescent="0.2">
      <c r="A48" s="1" t="s">
        <v>4</v>
      </c>
      <c r="B48" s="4">
        <f>B46*(B47/100)</f>
        <v>2.1688235294116112</v>
      </c>
      <c r="C48" s="4">
        <f>C46*(C47/100)</f>
        <v>2.0000000000009095</v>
      </c>
    </row>
    <row r="50" spans="1:3" x14ac:dyDescent="0.2">
      <c r="A50" s="5" t="s">
        <v>13</v>
      </c>
      <c r="B50">
        <v>2040.82</v>
      </c>
      <c r="C50">
        <v>2231.81</v>
      </c>
    </row>
    <row r="51" spans="1:3" x14ac:dyDescent="0.2">
      <c r="B51">
        <v>2039.57</v>
      </c>
      <c r="C51">
        <v>2232.7199999999998</v>
      </c>
    </row>
    <row r="52" spans="1:3" x14ac:dyDescent="0.2">
      <c r="B52">
        <v>2040.3</v>
      </c>
      <c r="C52">
        <v>2235.5500000000002</v>
      </c>
    </row>
    <row r="53" spans="1:3" x14ac:dyDescent="0.2">
      <c r="B53">
        <v>2036.23</v>
      </c>
      <c r="C53">
        <v>2234.11</v>
      </c>
    </row>
    <row r="54" spans="1:3" x14ac:dyDescent="0.2">
      <c r="B54">
        <v>2037.77</v>
      </c>
      <c r="C54">
        <v>2228.09</v>
      </c>
    </row>
    <row r="55" spans="1:3" x14ac:dyDescent="0.2">
      <c r="B55">
        <v>2041.03</v>
      </c>
      <c r="C55">
        <v>2227.2199999999998</v>
      </c>
    </row>
    <row r="56" spans="1:3" x14ac:dyDescent="0.2">
      <c r="B56">
        <v>2039.76</v>
      </c>
      <c r="C56">
        <v>2229.2199999999998</v>
      </c>
    </row>
    <row r="57" spans="1:3" x14ac:dyDescent="0.2">
      <c r="B57">
        <v>2038.1</v>
      </c>
      <c r="C57">
        <v>2227.0300000000002</v>
      </c>
    </row>
    <row r="58" spans="1:3" x14ac:dyDescent="0.2">
      <c r="B58">
        <v>2041.2</v>
      </c>
      <c r="C58">
        <v>2234.54</v>
      </c>
    </row>
    <row r="59" spans="1:3" x14ac:dyDescent="0.2">
      <c r="B59">
        <v>2040.23</v>
      </c>
      <c r="C59">
        <v>2229.1799999999998</v>
      </c>
    </row>
    <row r="60" spans="1:3" x14ac:dyDescent="0.2">
      <c r="B60">
        <v>2043.38</v>
      </c>
      <c r="C60">
        <v>2231.52</v>
      </c>
    </row>
    <row r="61" spans="1:3" x14ac:dyDescent="0.2">
      <c r="B61">
        <v>2044.16</v>
      </c>
      <c r="C61">
        <v>2231.42</v>
      </c>
    </row>
    <row r="62" spans="1:3" x14ac:dyDescent="0.2">
      <c r="B62">
        <v>2042.16</v>
      </c>
      <c r="C62">
        <v>2230.23</v>
      </c>
    </row>
    <row r="63" spans="1:3" x14ac:dyDescent="0.2">
      <c r="B63">
        <v>2042.55</v>
      </c>
      <c r="C63">
        <v>2231.38</v>
      </c>
    </row>
    <row r="64" spans="1:3" x14ac:dyDescent="0.2">
      <c r="B64">
        <v>2040.66</v>
      </c>
      <c r="C64">
        <v>2231.58</v>
      </c>
    </row>
    <row r="65" spans="1:3" x14ac:dyDescent="0.2">
      <c r="B65">
        <v>2043.75</v>
      </c>
      <c r="C65">
        <v>2231.7600000000002</v>
      </c>
    </row>
    <row r="66" spans="1:3" x14ac:dyDescent="0.2">
      <c r="B66">
        <v>2043.09</v>
      </c>
      <c r="C66">
        <v>2231.2399999999998</v>
      </c>
    </row>
    <row r="67" spans="1:3" x14ac:dyDescent="0.2">
      <c r="B67">
        <v>2041.99</v>
      </c>
      <c r="C67">
        <v>2231.64</v>
      </c>
    </row>
    <row r="68" spans="1:3" x14ac:dyDescent="0.2">
      <c r="B68">
        <v>2042.01</v>
      </c>
    </row>
    <row r="69" spans="1:3" x14ac:dyDescent="0.2">
      <c r="A69" s="1" t="s">
        <v>6</v>
      </c>
      <c r="B69" s="4">
        <f>STDEV(B50:B68)</f>
        <v>2.1052311620375836</v>
      </c>
      <c r="C69" s="4">
        <f>STDEV(C50:C67)</f>
        <v>2.3490354020877486</v>
      </c>
    </row>
    <row r="70" spans="1:3" x14ac:dyDescent="0.2">
      <c r="A70" s="1" t="s">
        <v>7</v>
      </c>
      <c r="B70" s="4">
        <f>2*B69</f>
        <v>4.2104623240751673</v>
      </c>
      <c r="C70" s="4">
        <f>2*C69</f>
        <v>4.6980708041754973</v>
      </c>
    </row>
    <row r="71" spans="1:3" x14ac:dyDescent="0.2">
      <c r="A71" s="1" t="s">
        <v>10</v>
      </c>
      <c r="B71" s="4">
        <v>2040.94</v>
      </c>
      <c r="C71" s="1">
        <v>2232.58</v>
      </c>
    </row>
    <row r="72" spans="1:3" x14ac:dyDescent="0.2">
      <c r="A72" s="1" t="s">
        <v>3</v>
      </c>
      <c r="B72" s="4">
        <f>ABS(((B71-AVERAGE(B50:B68))/B71)*100)</f>
        <v>2.3209119843123462E-3</v>
      </c>
      <c r="C72" s="4">
        <f>ABS(((C71-AVERAGE(C50:C67))/C71)*100)</f>
        <v>6.5196120880563868E-2</v>
      </c>
    </row>
    <row r="73" spans="1:3" x14ac:dyDescent="0.2">
      <c r="A73" s="1" t="s">
        <v>4</v>
      </c>
      <c r="B73" s="4">
        <f>B71*(B72/100)</f>
        <v>4.7368421052624399E-2</v>
      </c>
      <c r="C73" s="4">
        <f>C71*(C72/100)</f>
        <v>1.4555555555552926</v>
      </c>
    </row>
    <row r="75" spans="1:3" x14ac:dyDescent="0.2">
      <c r="A75" s="1" t="s">
        <v>15</v>
      </c>
      <c r="B75">
        <f>AVERAGE(B45,B70)</f>
        <v>3.7057306245216464</v>
      </c>
    </row>
    <row r="76" spans="1:3" x14ac:dyDescent="0.2">
      <c r="A76" s="1" t="s">
        <v>16</v>
      </c>
      <c r="B76">
        <f>AVERAGE(B12,B24,B48,B73)</f>
        <v>2.2750479876160625</v>
      </c>
    </row>
    <row r="77" spans="1:3" x14ac:dyDescent="0.2">
      <c r="A77" s="1" t="s">
        <v>17</v>
      </c>
      <c r="B77">
        <f>AVERAGE(C9,C21,C45,C70)</f>
        <v>4.3006091661781216</v>
      </c>
    </row>
    <row r="78" spans="1:3" x14ac:dyDescent="0.2">
      <c r="A78" s="1" t="s">
        <v>18</v>
      </c>
      <c r="B78">
        <f>AVERAGE(C12,C24,C48,C73)</f>
        <v>3.0876388888891597</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B50E9-2C45-B34A-A6D2-24F3A46061AB}">
  <dimension ref="A1:I84"/>
  <sheetViews>
    <sheetView topLeftCell="A55" workbookViewId="0">
      <selection activeCell="B84" sqref="B84"/>
    </sheetView>
  </sheetViews>
  <sheetFormatPr baseColWidth="10" defaultRowHeight="16" x14ac:dyDescent="0.2"/>
  <cols>
    <col min="1" max="1" width="37" bestFit="1" customWidth="1"/>
    <col min="3" max="3" width="15" bestFit="1" customWidth="1"/>
    <col min="4" max="4" width="13.6640625" bestFit="1" customWidth="1"/>
    <col min="6" max="6" width="15.5" bestFit="1" customWidth="1"/>
    <col min="7" max="7" width="12" bestFit="1" customWidth="1"/>
    <col min="8" max="8" width="14" bestFit="1" customWidth="1"/>
    <col min="9" max="9" width="11.83203125" bestFit="1" customWidth="1"/>
  </cols>
  <sheetData>
    <row r="1" spans="1:9" x14ac:dyDescent="0.2">
      <c r="A1" s="1" t="s">
        <v>552</v>
      </c>
    </row>
    <row r="2" spans="1:9" x14ac:dyDescent="0.2">
      <c r="A2" s="5" t="s">
        <v>19</v>
      </c>
      <c r="B2" t="s">
        <v>20</v>
      </c>
      <c r="C2" t="s">
        <v>22</v>
      </c>
      <c r="D2" t="s">
        <v>27</v>
      </c>
      <c r="E2" t="s">
        <v>21</v>
      </c>
      <c r="F2" t="s">
        <v>26</v>
      </c>
      <c r="G2" t="s">
        <v>23</v>
      </c>
      <c r="H2" t="s">
        <v>24</v>
      </c>
      <c r="I2" t="s">
        <v>25</v>
      </c>
    </row>
    <row r="3" spans="1:9" x14ac:dyDescent="0.2">
      <c r="A3" s="6">
        <v>-17.0002</v>
      </c>
      <c r="B3" s="6">
        <v>-150.00059999999999</v>
      </c>
      <c r="C3" s="6">
        <v>3759</v>
      </c>
      <c r="D3" s="6">
        <v>4</v>
      </c>
      <c r="E3" s="6">
        <v>35.399700000000003</v>
      </c>
      <c r="F3" s="6">
        <v>28.155799999999999</v>
      </c>
      <c r="G3" s="6">
        <v>196.9</v>
      </c>
      <c r="H3" s="6">
        <v>1978.1</v>
      </c>
      <c r="I3" s="6">
        <v>2331.3000000000002</v>
      </c>
    </row>
    <row r="4" spans="1:9" x14ac:dyDescent="0.2">
      <c r="A4" s="6">
        <v>-17.0002</v>
      </c>
      <c r="B4" s="6">
        <v>-150.00059999999999</v>
      </c>
      <c r="C4" s="6">
        <v>3759</v>
      </c>
      <c r="D4" s="6">
        <v>24.6</v>
      </c>
      <c r="E4" s="6">
        <v>35.400300000000001</v>
      </c>
      <c r="F4" s="6">
        <v>28.159500000000001</v>
      </c>
      <c r="G4" s="6">
        <v>196.9</v>
      </c>
      <c r="H4" s="6">
        <v>1978.1</v>
      </c>
      <c r="I4" s="6">
        <v>2332</v>
      </c>
    </row>
    <row r="5" spans="1:9" x14ac:dyDescent="0.2">
      <c r="A5" s="6">
        <v>-17.0002</v>
      </c>
      <c r="B5" s="6">
        <v>-150.00059999999999</v>
      </c>
      <c r="C5" s="6">
        <v>3759</v>
      </c>
      <c r="D5" s="6">
        <v>50.5</v>
      </c>
      <c r="E5" s="6">
        <v>35.404200000000003</v>
      </c>
      <c r="F5" s="6">
        <v>28.171199999999999</v>
      </c>
      <c r="G5" s="6">
        <v>197</v>
      </c>
      <c r="H5" s="6">
        <v>1978.6</v>
      </c>
      <c r="I5" s="6">
        <v>2332</v>
      </c>
    </row>
    <row r="6" spans="1:9" x14ac:dyDescent="0.2">
      <c r="A6" s="6">
        <v>-17.0002</v>
      </c>
      <c r="B6" s="6">
        <v>-150.00059999999999</v>
      </c>
      <c r="C6" s="6">
        <v>3759</v>
      </c>
      <c r="D6" s="6">
        <v>74.2</v>
      </c>
      <c r="E6" s="6">
        <v>36.020099999999999</v>
      </c>
      <c r="F6" s="6">
        <v>27.195</v>
      </c>
      <c r="G6" s="6">
        <v>207.8</v>
      </c>
      <c r="H6" s="6"/>
      <c r="I6" s="6"/>
    </row>
    <row r="7" spans="1:9" x14ac:dyDescent="0.2">
      <c r="A7" s="6">
        <v>-17.0002</v>
      </c>
      <c r="B7" s="6">
        <v>-150.00059999999999</v>
      </c>
      <c r="C7" s="6">
        <v>3759</v>
      </c>
      <c r="D7" s="6">
        <v>100.2</v>
      </c>
      <c r="E7" s="6">
        <v>36.079900000000002</v>
      </c>
      <c r="F7" s="6">
        <v>25.258600000000001</v>
      </c>
      <c r="G7" s="6">
        <v>209.2</v>
      </c>
      <c r="H7" s="6">
        <v>2035.3</v>
      </c>
      <c r="I7" s="6">
        <v>2374.4</v>
      </c>
    </row>
    <row r="8" spans="1:9" x14ac:dyDescent="0.2">
      <c r="A8" s="6">
        <v>-17.0002</v>
      </c>
      <c r="B8" s="6">
        <v>-150.00059999999999</v>
      </c>
      <c r="C8" s="6">
        <v>3759</v>
      </c>
      <c r="D8" s="6">
        <v>123.7</v>
      </c>
      <c r="E8" s="6">
        <v>36.110700000000001</v>
      </c>
      <c r="F8" s="6">
        <v>24.3032</v>
      </c>
      <c r="G8" s="6">
        <v>200.6</v>
      </c>
      <c r="H8" s="6"/>
      <c r="I8" s="6"/>
    </row>
    <row r="9" spans="1:9" x14ac:dyDescent="0.2">
      <c r="A9" s="6">
        <v>-17.0002</v>
      </c>
      <c r="B9" s="6">
        <v>-150.00059999999999</v>
      </c>
      <c r="C9" s="6">
        <v>3759</v>
      </c>
      <c r="D9" s="6">
        <v>150.30000000000001</v>
      </c>
      <c r="E9" s="6">
        <v>36.194299999999998</v>
      </c>
      <c r="F9" s="6">
        <v>23.867599999999999</v>
      </c>
      <c r="G9" s="6">
        <v>182.1</v>
      </c>
      <c r="H9" s="6">
        <v>2076.4</v>
      </c>
      <c r="I9" s="6">
        <v>2382</v>
      </c>
    </row>
    <row r="10" spans="1:9" x14ac:dyDescent="0.2">
      <c r="A10" s="6">
        <v>-17.0002</v>
      </c>
      <c r="B10" s="6">
        <v>-150.00059999999999</v>
      </c>
      <c r="C10" s="6">
        <v>3759</v>
      </c>
      <c r="D10" s="6">
        <v>200.1</v>
      </c>
      <c r="E10" s="6">
        <v>36.0379</v>
      </c>
      <c r="F10" s="6">
        <v>21.907900000000001</v>
      </c>
      <c r="G10" s="6">
        <v>178.4</v>
      </c>
      <c r="H10" s="6">
        <v>2093.5</v>
      </c>
      <c r="I10" s="6">
        <v>2369.1999999999998</v>
      </c>
    </row>
    <row r="11" spans="1:9" x14ac:dyDescent="0.2">
      <c r="A11" s="6">
        <v>-17.0002</v>
      </c>
      <c r="B11" s="6">
        <v>-150.00059999999999</v>
      </c>
      <c r="C11" s="6">
        <v>3759</v>
      </c>
      <c r="D11" s="6">
        <v>249.5</v>
      </c>
      <c r="E11" s="6">
        <v>35.785699999999999</v>
      </c>
      <c r="F11" s="6">
        <v>20.117999999999999</v>
      </c>
      <c r="G11" s="6">
        <v>177.1</v>
      </c>
      <c r="H11" s="6"/>
      <c r="I11" s="6"/>
    </row>
    <row r="12" spans="1:9" x14ac:dyDescent="0.2">
      <c r="A12" s="6">
        <v>-17.0002</v>
      </c>
      <c r="B12" s="6">
        <v>-150.00059999999999</v>
      </c>
      <c r="C12" s="6">
        <v>3759</v>
      </c>
      <c r="D12" s="6">
        <v>299.7</v>
      </c>
      <c r="E12" s="6">
        <v>35.375399999999999</v>
      </c>
      <c r="F12" s="6">
        <v>17.513200000000001</v>
      </c>
      <c r="G12" s="6">
        <v>178.6</v>
      </c>
      <c r="H12" s="6">
        <v>2102.6999999999998</v>
      </c>
      <c r="I12" s="6">
        <v>2327.4</v>
      </c>
    </row>
    <row r="13" spans="1:9" x14ac:dyDescent="0.2">
      <c r="A13" s="6">
        <v>-17.0002</v>
      </c>
      <c r="B13" s="6">
        <v>-150.00059999999999</v>
      </c>
      <c r="C13" s="6">
        <v>3759</v>
      </c>
      <c r="D13" s="6">
        <v>349</v>
      </c>
      <c r="E13" s="6">
        <v>34.945399999999999</v>
      </c>
      <c r="F13" s="6">
        <v>14.261100000000001</v>
      </c>
      <c r="G13" s="6">
        <v>164.3</v>
      </c>
      <c r="H13" s="6"/>
      <c r="I13" s="6"/>
    </row>
    <row r="14" spans="1:9" x14ac:dyDescent="0.2">
      <c r="A14" s="6">
        <v>-17.0002</v>
      </c>
      <c r="B14" s="6">
        <v>-150.00059999999999</v>
      </c>
      <c r="C14" s="6">
        <v>3759</v>
      </c>
      <c r="D14" s="6">
        <v>399.5</v>
      </c>
      <c r="E14" s="6">
        <v>34.706099999999999</v>
      </c>
      <c r="F14" s="6">
        <v>11.9991</v>
      </c>
      <c r="G14" s="6">
        <v>147.6</v>
      </c>
      <c r="H14" s="6">
        <v>2155.1999999999998</v>
      </c>
      <c r="I14" s="6">
        <v>2290.8000000000002</v>
      </c>
    </row>
    <row r="15" spans="1:9" x14ac:dyDescent="0.2">
      <c r="A15" s="6">
        <v>-17.0002</v>
      </c>
      <c r="B15" s="6">
        <v>-150.00059999999999</v>
      </c>
      <c r="C15" s="6">
        <v>3759</v>
      </c>
      <c r="D15" s="6">
        <v>448.9</v>
      </c>
      <c r="E15" s="6">
        <v>34.559100000000001</v>
      </c>
      <c r="F15" s="6">
        <v>10.0974</v>
      </c>
      <c r="G15" s="6">
        <v>138.5</v>
      </c>
      <c r="H15" s="6">
        <v>2176.3000000000002</v>
      </c>
      <c r="I15" s="6">
        <v>2286.6</v>
      </c>
    </row>
    <row r="16" spans="1:9" x14ac:dyDescent="0.2">
      <c r="A16" s="6">
        <v>-17.0002</v>
      </c>
      <c r="B16" s="6">
        <v>-150.00059999999999</v>
      </c>
      <c r="C16" s="6">
        <v>3759</v>
      </c>
      <c r="D16" s="6">
        <v>498.4</v>
      </c>
      <c r="E16" s="6">
        <v>34.497999999999998</v>
      </c>
      <c r="F16" s="6">
        <v>8.5923999999999996</v>
      </c>
      <c r="G16" s="6">
        <v>139</v>
      </c>
      <c r="H16" s="6">
        <v>2191.6999999999998</v>
      </c>
      <c r="I16" s="6">
        <v>2287</v>
      </c>
    </row>
    <row r="17" spans="1:9" x14ac:dyDescent="0.2">
      <c r="A17" s="6">
        <v>-17.0002</v>
      </c>
      <c r="B17" s="6">
        <v>-150.00059999999999</v>
      </c>
      <c r="C17" s="6">
        <v>3759</v>
      </c>
      <c r="D17" s="6">
        <v>599.6</v>
      </c>
      <c r="E17" s="6">
        <v>34.450699999999998</v>
      </c>
      <c r="F17" s="6">
        <v>6.8907999999999996</v>
      </c>
      <c r="G17" s="6">
        <v>142</v>
      </c>
      <c r="H17" s="6">
        <v>2206.8000000000002</v>
      </c>
      <c r="I17" s="6">
        <v>2294.6</v>
      </c>
    </row>
    <row r="18" spans="1:9" x14ac:dyDescent="0.2">
      <c r="A18" s="6">
        <v>-17.0002</v>
      </c>
      <c r="B18" s="6">
        <v>-150.00059999999999</v>
      </c>
      <c r="C18" s="6">
        <v>3759</v>
      </c>
      <c r="D18" s="6">
        <v>699.1</v>
      </c>
      <c r="E18" s="6">
        <v>34.437199999999997</v>
      </c>
      <c r="F18" s="6">
        <v>5.7638999999999996</v>
      </c>
      <c r="G18" s="6">
        <v>147.69999999999999</v>
      </c>
      <c r="H18" s="6">
        <v>2217</v>
      </c>
      <c r="I18" s="6">
        <v>2303.4</v>
      </c>
    </row>
    <row r="19" spans="1:9" x14ac:dyDescent="0.2">
      <c r="A19" s="6">
        <v>-17.0002</v>
      </c>
      <c r="B19" s="6">
        <v>-150.00059999999999</v>
      </c>
      <c r="C19" s="6">
        <v>3759</v>
      </c>
      <c r="D19" s="6">
        <v>800</v>
      </c>
      <c r="E19" s="6">
        <v>34.460700000000003</v>
      </c>
      <c r="F19" s="6">
        <v>4.9825999999999997</v>
      </c>
      <c r="G19" s="6">
        <v>145</v>
      </c>
      <c r="H19" s="6"/>
      <c r="I19" s="6"/>
    </row>
    <row r="20" spans="1:9" x14ac:dyDescent="0.2">
      <c r="A20" s="6">
        <v>-17.0002</v>
      </c>
      <c r="B20" s="6">
        <v>-150.00059999999999</v>
      </c>
      <c r="C20" s="6">
        <v>3759</v>
      </c>
      <c r="D20" s="6">
        <v>900.5</v>
      </c>
      <c r="E20" s="6">
        <v>34.481900000000003</v>
      </c>
      <c r="F20" s="6">
        <v>4.3624999999999998</v>
      </c>
      <c r="G20" s="6">
        <v>145.5</v>
      </c>
      <c r="H20" s="6">
        <v>2245.6</v>
      </c>
      <c r="I20" s="6">
        <v>2328.8000000000002</v>
      </c>
    </row>
    <row r="21" spans="1:9" x14ac:dyDescent="0.2">
      <c r="A21" s="6">
        <v>-17.0002</v>
      </c>
      <c r="B21" s="6">
        <v>-150.00059999999999</v>
      </c>
      <c r="C21" s="6">
        <v>3759</v>
      </c>
      <c r="D21" s="6">
        <v>1000.5</v>
      </c>
      <c r="E21" s="6">
        <v>34.497</v>
      </c>
      <c r="F21" s="6">
        <v>4.0194000000000001</v>
      </c>
      <c r="G21" s="6">
        <v>144.69999999999999</v>
      </c>
      <c r="H21" s="6">
        <v>2253.6999999999998</v>
      </c>
      <c r="I21" s="6">
        <v>2336.5</v>
      </c>
    </row>
    <row r="22" spans="1:9" x14ac:dyDescent="0.2">
      <c r="A22" s="6">
        <v>-17.0002</v>
      </c>
      <c r="B22" s="6">
        <v>-150.00059999999999</v>
      </c>
      <c r="C22" s="6">
        <v>3759</v>
      </c>
      <c r="D22" s="6">
        <v>1098.9000000000001</v>
      </c>
      <c r="E22" s="6">
        <v>34.520899999999997</v>
      </c>
      <c r="F22" s="6">
        <v>3.6804000000000001</v>
      </c>
      <c r="G22" s="6">
        <v>142.4</v>
      </c>
      <c r="H22" s="6">
        <v>2262.8000000000002</v>
      </c>
      <c r="I22" s="6">
        <v>2345.1</v>
      </c>
    </row>
    <row r="23" spans="1:9" x14ac:dyDescent="0.2">
      <c r="A23" s="6">
        <v>-17.0002</v>
      </c>
      <c r="B23" s="6">
        <v>-150.00059999999999</v>
      </c>
      <c r="C23" s="6">
        <v>3759</v>
      </c>
      <c r="D23" s="6">
        <v>1199.3</v>
      </c>
      <c r="E23" s="6">
        <v>34.537700000000001</v>
      </c>
      <c r="F23" s="6">
        <v>3.2993000000000001</v>
      </c>
      <c r="G23" s="6">
        <v>144.9</v>
      </c>
      <c r="H23" s="6"/>
      <c r="I23" s="6"/>
    </row>
    <row r="24" spans="1:9" x14ac:dyDescent="0.2">
      <c r="A24" s="6">
        <v>-17.0002</v>
      </c>
      <c r="B24" s="6">
        <v>-150.00059999999999</v>
      </c>
      <c r="C24" s="6">
        <v>3759</v>
      </c>
      <c r="D24" s="6">
        <v>1299</v>
      </c>
      <c r="E24" s="6">
        <v>34.558</v>
      </c>
      <c r="F24" s="6">
        <v>3.177</v>
      </c>
      <c r="G24" s="6">
        <v>140.6</v>
      </c>
      <c r="H24" s="6">
        <v>2279.8000000000002</v>
      </c>
      <c r="I24" s="6">
        <v>2360.5</v>
      </c>
    </row>
    <row r="25" spans="1:9" x14ac:dyDescent="0.2">
      <c r="A25" s="6">
        <v>-17.0002</v>
      </c>
      <c r="B25" s="6">
        <v>-150.00059999999999</v>
      </c>
      <c r="C25" s="6">
        <v>3759</v>
      </c>
      <c r="D25" s="6">
        <v>1399.1</v>
      </c>
      <c r="E25" s="6">
        <v>34.567799999999998</v>
      </c>
      <c r="F25" s="6">
        <v>3.0013000000000001</v>
      </c>
      <c r="G25" s="6">
        <v>142.69999999999999</v>
      </c>
      <c r="H25" s="6"/>
      <c r="I25" s="6"/>
    </row>
    <row r="26" spans="1:9" x14ac:dyDescent="0.2">
      <c r="A26" s="6">
        <v>-17.0002</v>
      </c>
      <c r="B26" s="6">
        <v>-150.00059999999999</v>
      </c>
      <c r="C26" s="6">
        <v>3759</v>
      </c>
      <c r="D26" s="6">
        <v>1499.3</v>
      </c>
      <c r="E26" s="6">
        <v>34.578200000000002</v>
      </c>
      <c r="F26" s="6">
        <v>2.8491</v>
      </c>
      <c r="G26" s="6">
        <v>143.9</v>
      </c>
      <c r="H26" s="6">
        <v>2285.6</v>
      </c>
      <c r="I26" s="6">
        <v>2368.9</v>
      </c>
    </row>
    <row r="27" spans="1:9" x14ac:dyDescent="0.2">
      <c r="A27" s="6">
        <v>-17.0002</v>
      </c>
      <c r="B27" s="6">
        <v>-150.00059999999999</v>
      </c>
      <c r="C27" s="6">
        <v>3759</v>
      </c>
      <c r="D27" s="6">
        <v>1598</v>
      </c>
      <c r="E27" s="6">
        <v>34.588099999999997</v>
      </c>
      <c r="F27" s="6">
        <v>2.7031999999999998</v>
      </c>
      <c r="G27" s="6">
        <v>146</v>
      </c>
      <c r="H27" s="6"/>
      <c r="I27" s="6"/>
    </row>
    <row r="28" spans="1:9" x14ac:dyDescent="0.2">
      <c r="A28" s="6">
        <v>-17.0002</v>
      </c>
      <c r="B28" s="6">
        <v>-150.00059999999999</v>
      </c>
      <c r="C28" s="6">
        <v>3759</v>
      </c>
      <c r="D28" s="6">
        <v>1700.5</v>
      </c>
      <c r="E28" s="6">
        <v>34.599499999999999</v>
      </c>
      <c r="F28" s="6">
        <v>2.5421999999999998</v>
      </c>
      <c r="G28" s="6">
        <v>147.4</v>
      </c>
      <c r="H28" s="6">
        <v>2289.5</v>
      </c>
      <c r="I28" s="6">
        <v>2375.9</v>
      </c>
    </row>
    <row r="29" spans="1:9" x14ac:dyDescent="0.2">
      <c r="A29" s="6">
        <v>-17.0002</v>
      </c>
      <c r="B29" s="6">
        <v>-150.00059999999999</v>
      </c>
      <c r="C29" s="6">
        <v>3759</v>
      </c>
      <c r="D29" s="6">
        <v>1800.3</v>
      </c>
      <c r="E29" s="6">
        <v>34.609099999999998</v>
      </c>
      <c r="F29" s="6">
        <v>2.4373</v>
      </c>
      <c r="G29" s="6">
        <v>148</v>
      </c>
      <c r="H29" s="6"/>
      <c r="I29" s="6"/>
    </row>
    <row r="30" spans="1:9" x14ac:dyDescent="0.2">
      <c r="A30" s="6">
        <v>-17.0002</v>
      </c>
      <c r="B30" s="6">
        <v>-150.00059999999999</v>
      </c>
      <c r="C30" s="6">
        <v>3759</v>
      </c>
      <c r="D30" s="6">
        <v>1998.7</v>
      </c>
      <c r="E30" s="6">
        <v>34.628599999999999</v>
      </c>
      <c r="F30" s="6">
        <v>2.1997</v>
      </c>
      <c r="G30" s="6">
        <v>150.69999999999999</v>
      </c>
      <c r="H30" s="6">
        <v>2297.6999999999998</v>
      </c>
      <c r="I30" s="6">
        <v>2386.1</v>
      </c>
    </row>
    <row r="31" spans="1:9" x14ac:dyDescent="0.2">
      <c r="A31" s="6">
        <v>-17.0002</v>
      </c>
      <c r="B31" s="6">
        <v>-150.00059999999999</v>
      </c>
      <c r="C31" s="6">
        <v>3759</v>
      </c>
      <c r="D31" s="6">
        <v>2249.8000000000002</v>
      </c>
      <c r="E31" s="6">
        <v>34.644199999999998</v>
      </c>
      <c r="F31" s="6">
        <v>2.0196999999999998</v>
      </c>
      <c r="G31" s="6">
        <v>153.5</v>
      </c>
      <c r="H31" s="6">
        <v>2300.8000000000002</v>
      </c>
      <c r="I31" s="6">
        <v>2391.1999999999998</v>
      </c>
    </row>
    <row r="32" spans="1:9" x14ac:dyDescent="0.2">
      <c r="A32" s="6">
        <v>-17.0002</v>
      </c>
      <c r="B32" s="6">
        <v>-150.00059999999999</v>
      </c>
      <c r="C32" s="6">
        <v>3759</v>
      </c>
      <c r="D32" s="6">
        <v>2499.1999999999998</v>
      </c>
      <c r="E32" s="6">
        <v>34.654000000000003</v>
      </c>
      <c r="F32" s="6">
        <v>1.9076</v>
      </c>
      <c r="G32" s="6">
        <v>156.30000000000001</v>
      </c>
      <c r="H32" s="6">
        <v>2301.6</v>
      </c>
      <c r="I32" s="6">
        <v>2394.6999999999998</v>
      </c>
    </row>
    <row r="33" spans="1:9" x14ac:dyDescent="0.2">
      <c r="A33" s="6">
        <v>-17.0002</v>
      </c>
      <c r="B33" s="6">
        <v>-150.00059999999999</v>
      </c>
      <c r="C33" s="6">
        <v>3759</v>
      </c>
      <c r="D33" s="6">
        <v>2749.8</v>
      </c>
      <c r="E33" s="6">
        <v>34.663499999999999</v>
      </c>
      <c r="F33" s="6">
        <v>1.8011999999999999</v>
      </c>
      <c r="G33" s="6">
        <v>159.30000000000001</v>
      </c>
      <c r="H33" s="6">
        <v>2302.1</v>
      </c>
      <c r="I33" s="6">
        <v>2395.1999999999998</v>
      </c>
    </row>
    <row r="34" spans="1:9" x14ac:dyDescent="0.2">
      <c r="A34" s="6">
        <v>-17.0002</v>
      </c>
      <c r="B34" s="6">
        <v>-150.00059999999999</v>
      </c>
      <c r="C34" s="6">
        <v>3759</v>
      </c>
      <c r="D34" s="6">
        <v>2999.7</v>
      </c>
      <c r="E34" s="6">
        <v>34.6723</v>
      </c>
      <c r="F34" s="6">
        <v>1.6893</v>
      </c>
      <c r="G34" s="6">
        <v>163.9</v>
      </c>
      <c r="H34" s="6">
        <v>2300.6</v>
      </c>
      <c r="I34" s="6">
        <v>2395.6</v>
      </c>
    </row>
    <row r="35" spans="1:9" x14ac:dyDescent="0.2">
      <c r="A35" s="6">
        <v>-17.0002</v>
      </c>
      <c r="B35" s="6">
        <v>-150.00059999999999</v>
      </c>
      <c r="C35" s="6">
        <v>3759</v>
      </c>
      <c r="D35" s="6">
        <v>3248.7</v>
      </c>
      <c r="E35" s="6">
        <v>34.678699999999999</v>
      </c>
      <c r="F35" s="6">
        <v>1.6136999999999999</v>
      </c>
      <c r="G35" s="6">
        <v>168</v>
      </c>
      <c r="H35" s="6"/>
      <c r="I35" s="6"/>
    </row>
    <row r="36" spans="1:9" x14ac:dyDescent="0.2">
      <c r="A36" s="6">
        <v>-17.0002</v>
      </c>
      <c r="B36" s="6">
        <v>-150.00059999999999</v>
      </c>
      <c r="C36" s="6">
        <v>3759</v>
      </c>
      <c r="D36" s="6">
        <v>3500.2</v>
      </c>
      <c r="E36" s="6">
        <v>34.684699999999999</v>
      </c>
      <c r="F36" s="6">
        <v>1.5401</v>
      </c>
      <c r="G36" s="6">
        <v>172.7</v>
      </c>
      <c r="H36" s="6">
        <v>2293.5</v>
      </c>
      <c r="I36" s="6">
        <v>2391.5</v>
      </c>
    </row>
    <row r="37" spans="1:9" x14ac:dyDescent="0.2">
      <c r="A37" s="6">
        <v>-17.0002</v>
      </c>
      <c r="B37" s="6">
        <v>-150.00059999999999</v>
      </c>
      <c r="C37" s="6">
        <v>3759</v>
      </c>
      <c r="D37" s="6">
        <v>3649.8</v>
      </c>
      <c r="E37" s="6">
        <v>34.6873</v>
      </c>
      <c r="F37" s="6">
        <v>1.5139</v>
      </c>
      <c r="G37" s="6">
        <v>174.7</v>
      </c>
      <c r="H37" s="6">
        <v>2291.4</v>
      </c>
      <c r="I37" s="6">
        <v>2390.6</v>
      </c>
    </row>
    <row r="38" spans="1:9" x14ac:dyDescent="0.2">
      <c r="A38" s="6">
        <v>-17.0002</v>
      </c>
      <c r="B38" s="6">
        <v>-150.00059999999999</v>
      </c>
      <c r="C38" s="6">
        <v>3759</v>
      </c>
      <c r="D38" s="6">
        <v>3800.6</v>
      </c>
      <c r="E38" s="6">
        <v>34.688699999999997</v>
      </c>
      <c r="F38" s="6">
        <v>1.5062</v>
      </c>
      <c r="G38" s="6">
        <v>175.9</v>
      </c>
      <c r="H38" s="6">
        <v>2291.6</v>
      </c>
      <c r="I38" s="6">
        <v>2388.6</v>
      </c>
    </row>
    <row r="40" spans="1:9" x14ac:dyDescent="0.2">
      <c r="C40" s="1" t="s">
        <v>457</v>
      </c>
      <c r="E40">
        <f>AVERAGE(E3:E5)</f>
        <v>35.401400000000002</v>
      </c>
      <c r="G40">
        <f>AVERAGE(G3:G5)</f>
        <v>196.93333333333331</v>
      </c>
      <c r="H40">
        <f>AVERAGE(H3:H5)</f>
        <v>1978.2666666666664</v>
      </c>
      <c r="I40">
        <f>AVERAGE(I3:I5)</f>
        <v>2331.7666666666669</v>
      </c>
    </row>
    <row r="42" spans="1:9" x14ac:dyDescent="0.2">
      <c r="A42" s="1" t="s">
        <v>553</v>
      </c>
    </row>
    <row r="43" spans="1:9" x14ac:dyDescent="0.2">
      <c r="A43" s="5" t="s">
        <v>19</v>
      </c>
      <c r="B43" t="s">
        <v>20</v>
      </c>
      <c r="C43" t="s">
        <v>22</v>
      </c>
      <c r="D43" t="s">
        <v>27</v>
      </c>
      <c r="E43" t="s">
        <v>21</v>
      </c>
      <c r="F43" t="s">
        <v>26</v>
      </c>
      <c r="G43" t="s">
        <v>23</v>
      </c>
      <c r="H43" t="s">
        <v>24</v>
      </c>
      <c r="I43" t="s">
        <v>25</v>
      </c>
    </row>
    <row r="44" spans="1:9" x14ac:dyDescent="0.2">
      <c r="A44" s="6">
        <v>-17.0002</v>
      </c>
      <c r="B44" s="6">
        <v>-149.99950000000001</v>
      </c>
      <c r="C44" s="6">
        <v>1935</v>
      </c>
      <c r="D44" s="6">
        <v>6.4</v>
      </c>
      <c r="E44" s="6">
        <v>35.862000000000002</v>
      </c>
      <c r="F44" s="6">
        <v>28.7363</v>
      </c>
      <c r="G44" s="6">
        <v>197.4</v>
      </c>
      <c r="H44" s="6"/>
      <c r="I44" s="6">
        <v>2349.4</v>
      </c>
    </row>
    <row r="45" spans="1:9" x14ac:dyDescent="0.2">
      <c r="A45" s="6">
        <v>-17.0002</v>
      </c>
      <c r="B45" s="6">
        <v>-149.99950000000001</v>
      </c>
      <c r="C45" s="6">
        <v>1935</v>
      </c>
      <c r="D45" s="6">
        <v>6.5</v>
      </c>
      <c r="E45" s="6">
        <v>35.862099999999998</v>
      </c>
      <c r="F45" s="6">
        <v>28.7364</v>
      </c>
      <c r="G45" s="6">
        <v>197.3</v>
      </c>
      <c r="H45" s="6">
        <v>1990.1</v>
      </c>
      <c r="I45" s="6"/>
    </row>
    <row r="46" spans="1:9" x14ac:dyDescent="0.2">
      <c r="A46" s="6">
        <v>-17.0002</v>
      </c>
      <c r="B46" s="6">
        <v>-149.99950000000001</v>
      </c>
      <c r="C46" s="6">
        <v>1935</v>
      </c>
      <c r="D46" s="6">
        <v>24.3</v>
      </c>
      <c r="E46" s="6">
        <v>35.932000000000002</v>
      </c>
      <c r="F46" s="6">
        <v>28.691600000000001</v>
      </c>
      <c r="G46" s="6">
        <v>198.3</v>
      </c>
      <c r="H46" s="6">
        <v>1995.6</v>
      </c>
      <c r="I46" s="6">
        <v>2356.4</v>
      </c>
    </row>
    <row r="47" spans="1:9" x14ac:dyDescent="0.2">
      <c r="A47" s="6">
        <v>-17.0002</v>
      </c>
      <c r="B47" s="6">
        <v>-149.99950000000001</v>
      </c>
      <c r="C47" s="6">
        <v>1935</v>
      </c>
      <c r="D47" s="6">
        <v>50.9</v>
      </c>
      <c r="E47" s="6">
        <v>36.006999999999998</v>
      </c>
      <c r="F47" s="6">
        <v>28.395600000000002</v>
      </c>
      <c r="G47" s="6">
        <v>200.9</v>
      </c>
      <c r="H47" s="6">
        <v>2002</v>
      </c>
      <c r="I47" s="6">
        <v>2362.6999999999998</v>
      </c>
    </row>
    <row r="48" spans="1:9" x14ac:dyDescent="0.2">
      <c r="A48" s="6">
        <v>-17.0002</v>
      </c>
      <c r="B48" s="6">
        <v>-149.99950000000001</v>
      </c>
      <c r="C48" s="6">
        <v>1935</v>
      </c>
      <c r="D48" s="6">
        <v>74.3</v>
      </c>
      <c r="E48" s="6">
        <v>36.068399999999997</v>
      </c>
      <c r="F48" s="6">
        <v>25.853000000000002</v>
      </c>
      <c r="G48" s="6">
        <v>203.8</v>
      </c>
      <c r="H48" s="6">
        <v>2021.7</v>
      </c>
      <c r="I48" s="6">
        <v>2368.4</v>
      </c>
    </row>
    <row r="49" spans="1:9" x14ac:dyDescent="0.2">
      <c r="A49" s="6">
        <v>-17.0002</v>
      </c>
      <c r="B49" s="6">
        <v>-149.99950000000001</v>
      </c>
      <c r="C49" s="6">
        <v>1935</v>
      </c>
      <c r="D49" s="6">
        <v>100.4</v>
      </c>
      <c r="E49" s="6">
        <v>36.115200000000002</v>
      </c>
      <c r="F49" s="6">
        <v>25.151800000000001</v>
      </c>
      <c r="G49" s="6">
        <v>195.6</v>
      </c>
      <c r="H49" s="6">
        <v>2038.8</v>
      </c>
      <c r="I49" s="6">
        <v>2374.6999999999998</v>
      </c>
    </row>
    <row r="50" spans="1:9" x14ac:dyDescent="0.2">
      <c r="A50" s="6">
        <v>-17.0002</v>
      </c>
      <c r="B50" s="6">
        <v>-149.99950000000001</v>
      </c>
      <c r="C50" s="6">
        <v>1935</v>
      </c>
      <c r="D50" s="6">
        <v>125.8</v>
      </c>
      <c r="E50" s="6">
        <v>35.994</v>
      </c>
      <c r="F50" s="6">
        <v>24.110700000000001</v>
      </c>
      <c r="G50" s="6">
        <v>195.3</v>
      </c>
      <c r="H50" s="6">
        <v>2034.7</v>
      </c>
      <c r="I50" s="6">
        <v>2362.1</v>
      </c>
    </row>
    <row r="51" spans="1:9" x14ac:dyDescent="0.2">
      <c r="A51" s="6">
        <v>-17.0002</v>
      </c>
      <c r="B51" s="6">
        <v>-149.99950000000001</v>
      </c>
      <c r="C51" s="6">
        <v>1935</v>
      </c>
      <c r="D51" s="6">
        <v>149.80000000000001</v>
      </c>
      <c r="E51" s="6">
        <v>36.010800000000003</v>
      </c>
      <c r="F51" s="6">
        <v>23.543199999999999</v>
      </c>
      <c r="G51" s="6">
        <v>190.1</v>
      </c>
      <c r="H51" s="6">
        <v>2052.5</v>
      </c>
      <c r="I51" s="6">
        <v>2364.8000000000002</v>
      </c>
    </row>
    <row r="52" spans="1:9" x14ac:dyDescent="0.2">
      <c r="A52" s="6">
        <v>-17.0002</v>
      </c>
      <c r="B52" s="6">
        <v>-149.99950000000001</v>
      </c>
      <c r="C52" s="6">
        <v>1935</v>
      </c>
      <c r="D52" s="6">
        <v>205.7</v>
      </c>
      <c r="E52" s="6">
        <v>35.9056</v>
      </c>
      <c r="F52" s="6">
        <v>21.459599999999998</v>
      </c>
      <c r="G52" s="6">
        <v>173.8</v>
      </c>
      <c r="H52" s="6">
        <v>2085.1</v>
      </c>
      <c r="I52" s="6">
        <v>2358.4</v>
      </c>
    </row>
    <row r="53" spans="1:9" x14ac:dyDescent="0.2">
      <c r="A53" s="6">
        <v>-17.0002</v>
      </c>
      <c r="B53" s="6">
        <v>-149.99950000000001</v>
      </c>
      <c r="C53" s="6">
        <v>1935</v>
      </c>
      <c r="D53" s="6">
        <v>231.2</v>
      </c>
      <c r="E53" s="6">
        <v>35.849600000000002</v>
      </c>
      <c r="F53" s="6">
        <v>21.0063</v>
      </c>
      <c r="G53" s="6">
        <v>174.2</v>
      </c>
      <c r="H53" s="6">
        <v>2087.1</v>
      </c>
      <c r="I53" s="6">
        <v>2356.1999999999998</v>
      </c>
    </row>
    <row r="54" spans="1:9" x14ac:dyDescent="0.2">
      <c r="A54" s="6">
        <v>-17.0002</v>
      </c>
      <c r="B54" s="6">
        <v>-149.99950000000001</v>
      </c>
      <c r="C54" s="6">
        <v>1935</v>
      </c>
      <c r="D54" s="6">
        <v>261.8</v>
      </c>
      <c r="E54" s="6">
        <v>35.630299999999998</v>
      </c>
      <c r="F54" s="6">
        <v>19.329999999999998</v>
      </c>
      <c r="G54" s="6">
        <v>174.8</v>
      </c>
      <c r="H54" s="6"/>
      <c r="I54" s="6"/>
    </row>
    <row r="55" spans="1:9" x14ac:dyDescent="0.2">
      <c r="A55" s="6">
        <v>-17.0002</v>
      </c>
      <c r="B55" s="6">
        <v>-149.99950000000001</v>
      </c>
      <c r="C55" s="6">
        <v>1935</v>
      </c>
      <c r="D55" s="6">
        <v>301.2</v>
      </c>
      <c r="E55" s="6">
        <v>35.3187</v>
      </c>
      <c r="F55" s="6">
        <v>16.924299999999999</v>
      </c>
      <c r="G55" s="6">
        <v>173.7</v>
      </c>
      <c r="H55" s="6">
        <v>2101.5</v>
      </c>
      <c r="I55" s="6">
        <v>2323.5</v>
      </c>
    </row>
    <row r="56" spans="1:9" x14ac:dyDescent="0.2">
      <c r="A56" s="6">
        <v>-17.0002</v>
      </c>
      <c r="B56" s="6">
        <v>-149.99950000000001</v>
      </c>
      <c r="C56" s="6">
        <v>1935</v>
      </c>
      <c r="D56" s="6">
        <v>356.4</v>
      </c>
      <c r="E56" s="6">
        <v>35.053600000000003</v>
      </c>
      <c r="F56" s="6">
        <v>14.654400000000001</v>
      </c>
      <c r="G56" s="6">
        <v>173.1</v>
      </c>
      <c r="H56" s="6">
        <v>2115.9</v>
      </c>
      <c r="I56" s="6">
        <v>2308.1999999999998</v>
      </c>
    </row>
    <row r="57" spans="1:9" x14ac:dyDescent="0.2">
      <c r="A57" s="6">
        <v>-17.0002</v>
      </c>
      <c r="B57" s="6">
        <v>-149.99950000000001</v>
      </c>
      <c r="C57" s="6">
        <v>1935</v>
      </c>
      <c r="D57" s="6">
        <v>449.7</v>
      </c>
      <c r="E57" s="6">
        <v>34.566299999999998</v>
      </c>
      <c r="F57" s="6">
        <v>9.3447999999999993</v>
      </c>
      <c r="G57" s="6">
        <v>141.69999999999999</v>
      </c>
      <c r="H57" s="6">
        <v>2177.1</v>
      </c>
      <c r="I57" s="6">
        <v>2293.3000000000002</v>
      </c>
    </row>
    <row r="58" spans="1:9" x14ac:dyDescent="0.2">
      <c r="A58" s="6">
        <v>-17.0002</v>
      </c>
      <c r="B58" s="6">
        <v>-149.99950000000001</v>
      </c>
      <c r="C58" s="6">
        <v>1935</v>
      </c>
      <c r="D58" s="6">
        <v>501.3</v>
      </c>
      <c r="E58" s="6">
        <v>34.499299999999998</v>
      </c>
      <c r="F58" s="6">
        <v>8.1023999999999994</v>
      </c>
      <c r="G58" s="6">
        <v>143.9</v>
      </c>
      <c r="H58" s="6">
        <v>2188.1999999999998</v>
      </c>
      <c r="I58" s="6">
        <v>2291.3000000000002</v>
      </c>
    </row>
    <row r="59" spans="1:9" x14ac:dyDescent="0.2">
      <c r="A59" s="6">
        <v>-17.0002</v>
      </c>
      <c r="B59" s="6">
        <v>-149.99950000000001</v>
      </c>
      <c r="C59" s="6">
        <v>1935</v>
      </c>
      <c r="D59" s="6">
        <v>600.5</v>
      </c>
      <c r="E59" s="6">
        <v>34.451999999999998</v>
      </c>
      <c r="F59" s="6">
        <v>6.5616000000000003</v>
      </c>
      <c r="G59" s="6">
        <v>150.4</v>
      </c>
      <c r="H59" s="6">
        <v>2201.4</v>
      </c>
      <c r="I59" s="6">
        <v>2297.6999999999998</v>
      </c>
    </row>
    <row r="60" spans="1:9" x14ac:dyDescent="0.2">
      <c r="A60" s="6">
        <v>-17.0002</v>
      </c>
      <c r="B60" s="6">
        <v>-149.99950000000001</v>
      </c>
      <c r="C60" s="6">
        <v>1935</v>
      </c>
      <c r="D60" s="6">
        <v>699.8</v>
      </c>
      <c r="E60" s="6">
        <v>34.433199999999999</v>
      </c>
      <c r="F60" s="6">
        <v>5.4222999999999999</v>
      </c>
      <c r="G60" s="6">
        <v>154.80000000000001</v>
      </c>
      <c r="H60" s="6">
        <v>2214.1</v>
      </c>
      <c r="I60" s="6">
        <v>2312.1999999999998</v>
      </c>
    </row>
    <row r="61" spans="1:9" x14ac:dyDescent="0.2">
      <c r="A61" s="6">
        <v>-17.0002</v>
      </c>
      <c r="B61" s="6">
        <v>-149.99950000000001</v>
      </c>
      <c r="C61" s="6">
        <v>1935</v>
      </c>
      <c r="D61" s="6">
        <v>800.3</v>
      </c>
      <c r="E61" s="6">
        <v>34.467300000000002</v>
      </c>
      <c r="F61" s="6">
        <v>4.9076000000000004</v>
      </c>
      <c r="G61" s="6">
        <v>149</v>
      </c>
      <c r="H61" s="6">
        <v>2231.6</v>
      </c>
      <c r="I61" s="6">
        <v>2322.4</v>
      </c>
    </row>
    <row r="62" spans="1:9" x14ac:dyDescent="0.2">
      <c r="A62" s="6">
        <v>-17.0002</v>
      </c>
      <c r="B62" s="6">
        <v>-149.99950000000001</v>
      </c>
      <c r="C62" s="6">
        <v>1935</v>
      </c>
      <c r="D62" s="6">
        <v>900.1</v>
      </c>
      <c r="E62" s="6">
        <v>34.485799999999998</v>
      </c>
      <c r="F62" s="6">
        <v>4.5157999999999996</v>
      </c>
      <c r="G62" s="6">
        <v>145.1</v>
      </c>
      <c r="H62" s="6">
        <v>2241.9</v>
      </c>
      <c r="I62" s="6">
        <v>2329.6</v>
      </c>
    </row>
    <row r="63" spans="1:9" x14ac:dyDescent="0.2">
      <c r="A63" s="6">
        <v>-17.0002</v>
      </c>
      <c r="B63" s="6">
        <v>-149.99950000000001</v>
      </c>
      <c r="C63" s="6">
        <v>1935</v>
      </c>
      <c r="D63" s="6">
        <v>1001.2</v>
      </c>
      <c r="E63" s="6">
        <v>34.502000000000002</v>
      </c>
      <c r="F63" s="6">
        <v>3.968</v>
      </c>
      <c r="G63" s="6">
        <v>145.4</v>
      </c>
      <c r="H63" s="6"/>
      <c r="I63" s="6"/>
    </row>
    <row r="64" spans="1:9" x14ac:dyDescent="0.2">
      <c r="A64" s="6">
        <v>-17.0002</v>
      </c>
      <c r="B64" s="6">
        <v>-149.99950000000001</v>
      </c>
      <c r="C64" s="6">
        <v>1935</v>
      </c>
      <c r="D64" s="6">
        <v>1201.3</v>
      </c>
      <c r="E64" s="6">
        <v>34.542900000000003</v>
      </c>
      <c r="F64" s="6">
        <v>3.3136999999999999</v>
      </c>
      <c r="G64" s="6">
        <v>144.5</v>
      </c>
      <c r="H64" s="6">
        <v>2268.1999999999998</v>
      </c>
      <c r="I64" s="6">
        <v>2356.1</v>
      </c>
    </row>
    <row r="65" spans="1:9" x14ac:dyDescent="0.2">
      <c r="A65" s="6">
        <v>-17.0002</v>
      </c>
      <c r="B65" s="6">
        <v>-149.99950000000001</v>
      </c>
      <c r="C65" s="6">
        <v>1935</v>
      </c>
      <c r="D65" s="6">
        <v>1401.3</v>
      </c>
      <c r="E65" s="6">
        <v>34.573700000000002</v>
      </c>
      <c r="F65" s="6">
        <v>2.8978000000000002</v>
      </c>
      <c r="G65" s="6">
        <v>145</v>
      </c>
      <c r="H65" s="6">
        <v>2278.4</v>
      </c>
      <c r="I65" s="6">
        <v>2367.6999999999998</v>
      </c>
    </row>
    <row r="66" spans="1:9" x14ac:dyDescent="0.2">
      <c r="A66" s="6">
        <v>-17.0002</v>
      </c>
      <c r="B66" s="6">
        <v>-149.99950000000001</v>
      </c>
      <c r="C66" s="6">
        <v>1935</v>
      </c>
      <c r="D66" s="6">
        <v>1600</v>
      </c>
      <c r="E66" s="6">
        <v>34.596400000000003</v>
      </c>
      <c r="F66" s="6">
        <v>2.6070000000000002</v>
      </c>
      <c r="G66" s="6">
        <v>146.80000000000001</v>
      </c>
      <c r="H66" s="6">
        <v>2286.8000000000002</v>
      </c>
      <c r="I66" s="6">
        <v>2376.3000000000002</v>
      </c>
    </row>
    <row r="67" spans="1:9" x14ac:dyDescent="0.2">
      <c r="A67" s="6">
        <v>-17.0002</v>
      </c>
      <c r="B67" s="6">
        <v>-149.99950000000001</v>
      </c>
      <c r="C67" s="6">
        <v>1935</v>
      </c>
      <c r="D67" s="6">
        <v>1800.5</v>
      </c>
      <c r="E67" s="6">
        <v>34.6175</v>
      </c>
      <c r="F67" s="6">
        <v>2.3708999999999998</v>
      </c>
      <c r="G67" s="6">
        <v>148</v>
      </c>
      <c r="H67" s="6">
        <v>2294.8000000000002</v>
      </c>
      <c r="I67" s="6">
        <v>2384.1</v>
      </c>
    </row>
    <row r="68" spans="1:9" x14ac:dyDescent="0.2">
      <c r="A68" s="6">
        <v>-17.0002</v>
      </c>
      <c r="B68" s="6">
        <v>-149.99950000000001</v>
      </c>
      <c r="C68" s="6">
        <v>1935</v>
      </c>
      <c r="D68" s="6">
        <v>1999</v>
      </c>
      <c r="E68" s="6">
        <v>34.636600000000001</v>
      </c>
      <c r="F68" s="6">
        <v>2.1484000000000001</v>
      </c>
      <c r="G68" s="6">
        <v>150.30000000000001</v>
      </c>
      <c r="H68" s="6">
        <v>2300.6</v>
      </c>
      <c r="I68" s="6">
        <v>2391.3000000000002</v>
      </c>
    </row>
    <row r="69" spans="1:9" x14ac:dyDescent="0.2">
      <c r="A69" s="6">
        <v>-17.0002</v>
      </c>
      <c r="B69" s="6">
        <v>-149.99950000000001</v>
      </c>
      <c r="C69" s="6">
        <v>1935</v>
      </c>
      <c r="D69" s="6">
        <v>2199.8000000000002</v>
      </c>
      <c r="E69" s="6">
        <v>34.646099999999997</v>
      </c>
      <c r="F69" s="6">
        <v>2.0385</v>
      </c>
      <c r="G69" s="6">
        <v>152.4</v>
      </c>
      <c r="H69" s="6"/>
      <c r="I69" s="6"/>
    </row>
    <row r="70" spans="1:9" x14ac:dyDescent="0.2">
      <c r="A70" s="6">
        <v>-17.0002</v>
      </c>
      <c r="B70" s="6">
        <v>-149.99950000000001</v>
      </c>
      <c r="C70" s="6">
        <v>1935</v>
      </c>
      <c r="D70" s="6">
        <v>2398.8000000000002</v>
      </c>
      <c r="E70" s="6">
        <v>34.656300000000002</v>
      </c>
      <c r="F70" s="6">
        <v>1.9097</v>
      </c>
      <c r="G70" s="6">
        <v>155.1</v>
      </c>
      <c r="H70" s="6">
        <v>2303.4</v>
      </c>
      <c r="I70" s="6">
        <v>2395.3000000000002</v>
      </c>
    </row>
    <row r="71" spans="1:9" x14ac:dyDescent="0.2">
      <c r="A71" s="6">
        <v>-17.0002</v>
      </c>
      <c r="B71" s="6">
        <v>-149.99950000000001</v>
      </c>
      <c r="C71" s="6">
        <v>1935</v>
      </c>
      <c r="D71" s="6">
        <v>2600.8000000000002</v>
      </c>
      <c r="E71" s="6">
        <v>34.665999999999997</v>
      </c>
      <c r="F71" s="6">
        <v>1.8064</v>
      </c>
      <c r="G71" s="6">
        <v>157.9</v>
      </c>
      <c r="H71" s="6">
        <v>2305.6999999999998</v>
      </c>
      <c r="I71" s="6">
        <v>2396.4</v>
      </c>
    </row>
    <row r="72" spans="1:9" x14ac:dyDescent="0.2">
      <c r="A72" s="6">
        <v>-17.0002</v>
      </c>
      <c r="B72" s="6">
        <v>-149.99950000000001</v>
      </c>
      <c r="C72" s="6">
        <v>1935</v>
      </c>
      <c r="D72" s="6">
        <v>2799.3</v>
      </c>
      <c r="E72" s="6">
        <v>34.671500000000002</v>
      </c>
      <c r="F72" s="6">
        <v>1.7423999999999999</v>
      </c>
      <c r="G72" s="6">
        <v>161</v>
      </c>
      <c r="H72" s="6">
        <v>2307</v>
      </c>
      <c r="I72" s="6">
        <v>2397.5</v>
      </c>
    </row>
    <row r="73" spans="1:9" x14ac:dyDescent="0.2">
      <c r="A73" s="6">
        <v>-17.0002</v>
      </c>
      <c r="B73" s="6">
        <v>-149.99950000000001</v>
      </c>
      <c r="C73" s="6">
        <v>1935</v>
      </c>
      <c r="D73" s="6">
        <v>3000</v>
      </c>
      <c r="E73" s="6">
        <v>34.677</v>
      </c>
      <c r="F73" s="6">
        <v>1.6792</v>
      </c>
      <c r="G73" s="6">
        <v>163.5</v>
      </c>
      <c r="H73" s="6"/>
      <c r="I73" s="6">
        <v>2395.1</v>
      </c>
    </row>
    <row r="74" spans="1:9" x14ac:dyDescent="0.2">
      <c r="A74" s="6">
        <v>-17.0002</v>
      </c>
      <c r="B74" s="6">
        <v>-149.99950000000001</v>
      </c>
      <c r="C74" s="6">
        <v>1935</v>
      </c>
      <c r="D74" s="6">
        <v>3300.3</v>
      </c>
      <c r="E74" s="6">
        <v>34.685499999999998</v>
      </c>
      <c r="F74" s="6">
        <v>1.5727</v>
      </c>
      <c r="G74" s="6">
        <v>168.7</v>
      </c>
      <c r="H74" s="6">
        <v>2301.1999999999998</v>
      </c>
      <c r="I74" s="6">
        <v>2394</v>
      </c>
    </row>
    <row r="75" spans="1:9" x14ac:dyDescent="0.2">
      <c r="A75" s="6">
        <v>-17.0002</v>
      </c>
      <c r="B75" s="6">
        <v>-149.99950000000001</v>
      </c>
      <c r="C75" s="6">
        <v>1935</v>
      </c>
      <c r="D75" s="6">
        <v>3600.6</v>
      </c>
      <c r="E75" s="6">
        <v>34.690300000000001</v>
      </c>
      <c r="F75" s="6">
        <v>1.5251999999999999</v>
      </c>
      <c r="G75" s="6">
        <v>172.6</v>
      </c>
      <c r="H75" s="6">
        <v>2295.4</v>
      </c>
      <c r="I75" s="6">
        <v>2392.3000000000002</v>
      </c>
    </row>
    <row r="76" spans="1:9" x14ac:dyDescent="0.2">
      <c r="A76" s="6">
        <v>-17.0002</v>
      </c>
      <c r="B76" s="6">
        <v>-149.99950000000001</v>
      </c>
      <c r="C76" s="6">
        <v>1935</v>
      </c>
      <c r="D76" s="6">
        <v>3700</v>
      </c>
      <c r="E76" s="6">
        <v>34.691899999999997</v>
      </c>
      <c r="F76" s="6">
        <v>1.51</v>
      </c>
      <c r="G76" s="6">
        <v>173.6</v>
      </c>
      <c r="H76" s="6">
        <v>1979.2</v>
      </c>
      <c r="I76" s="6">
        <v>2391.6999999999998</v>
      </c>
    </row>
    <row r="77" spans="1:9" x14ac:dyDescent="0.2">
      <c r="A77" s="6">
        <v>-17.0002</v>
      </c>
      <c r="B77" s="6">
        <v>-149.99950000000001</v>
      </c>
      <c r="C77" s="6">
        <v>1935</v>
      </c>
      <c r="D77" s="6">
        <v>3802.4</v>
      </c>
      <c r="E77" s="6">
        <v>34.693199999999997</v>
      </c>
      <c r="F77" s="6">
        <v>1.4995000000000001</v>
      </c>
      <c r="G77" s="6">
        <v>175.3</v>
      </c>
      <c r="H77" s="6">
        <v>2291</v>
      </c>
      <c r="I77" s="6">
        <v>2391.4</v>
      </c>
    </row>
    <row r="79" spans="1:9" x14ac:dyDescent="0.2">
      <c r="C79" s="1" t="s">
        <v>457</v>
      </c>
      <c r="E79">
        <f>AVERAGE(E44:E47)</f>
        <v>35.915774999999996</v>
      </c>
      <c r="G79">
        <f>AVERAGE(G44:G47)</f>
        <v>198.47499999999999</v>
      </c>
      <c r="H79">
        <f>AVERAGE(H44:H47)</f>
        <v>1995.8999999999999</v>
      </c>
      <c r="I79">
        <f>AVERAGE(I44:I47)</f>
        <v>2356.1666666666665</v>
      </c>
    </row>
    <row r="81" spans="1:2" x14ac:dyDescent="0.2">
      <c r="A81" t="s">
        <v>554</v>
      </c>
      <c r="B81">
        <f>STDEV(H79,H40)</f>
        <v>12.468649574922864</v>
      </c>
    </row>
    <row r="82" spans="1:2" x14ac:dyDescent="0.2">
      <c r="A82" t="s">
        <v>555</v>
      </c>
      <c r="B82">
        <f>2*B81</f>
        <v>24.937299149845728</v>
      </c>
    </row>
    <row r="83" spans="1:2" x14ac:dyDescent="0.2">
      <c r="A83" t="s">
        <v>556</v>
      </c>
      <c r="B83">
        <f>STDEV(I40,I79)</f>
        <v>17.253405460951502</v>
      </c>
    </row>
    <row r="84" spans="1:2" x14ac:dyDescent="0.2">
      <c r="A84" t="s">
        <v>557</v>
      </c>
      <c r="B84">
        <f>2*B83</f>
        <v>34.506810921903003</v>
      </c>
    </row>
  </sheetData>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685A6-F758-214E-9FFC-513FDD53CF15}">
  <dimension ref="A1:AT156"/>
  <sheetViews>
    <sheetView topLeftCell="I1" zoomScaleNormal="100" workbookViewId="0">
      <selection activeCell="J3" sqref="J3"/>
    </sheetView>
  </sheetViews>
  <sheetFormatPr baseColWidth="10" defaultRowHeight="16" x14ac:dyDescent="0.2"/>
  <cols>
    <col min="1" max="1" width="43.5" bestFit="1" customWidth="1"/>
    <col min="2" max="2" width="17" bestFit="1" customWidth="1"/>
    <col min="3" max="3" width="39.1640625" bestFit="1" customWidth="1"/>
    <col min="4" max="4" width="34.6640625" bestFit="1" customWidth="1"/>
    <col min="5" max="5" width="17.1640625" bestFit="1" customWidth="1"/>
    <col min="6" max="6" width="16" bestFit="1" customWidth="1"/>
    <col min="7" max="7" width="21.83203125" bestFit="1" customWidth="1"/>
    <col min="8" max="8" width="14.83203125" bestFit="1" customWidth="1"/>
    <col min="9" max="9" width="17.83203125" bestFit="1" customWidth="1"/>
    <col min="10" max="10" width="22.5" bestFit="1" customWidth="1"/>
    <col min="11" max="11" width="18.1640625" bestFit="1" customWidth="1"/>
    <col min="15" max="15" width="12.83203125" bestFit="1" customWidth="1"/>
    <col min="16" max="16" width="20.83203125" bestFit="1" customWidth="1"/>
    <col min="17" max="17" width="12.1640625" bestFit="1" customWidth="1"/>
    <col min="18" max="18" width="15.83203125" bestFit="1" customWidth="1"/>
    <col min="20" max="20" width="16.33203125" bestFit="1" customWidth="1"/>
    <col min="21" max="21" width="16.33203125" customWidth="1"/>
    <col min="22" max="22" width="19.33203125" bestFit="1" customWidth="1"/>
    <col min="23" max="23" width="16.33203125" customWidth="1"/>
    <col min="24" max="24" width="20.33203125" bestFit="1" customWidth="1"/>
    <col min="41" max="41" width="23.1640625" bestFit="1" customWidth="1"/>
    <col min="42" max="42" width="27.5" bestFit="1" customWidth="1"/>
    <col min="45" max="45" width="11.33203125" bestFit="1" customWidth="1"/>
  </cols>
  <sheetData>
    <row r="1" spans="1:46" x14ac:dyDescent="0.2">
      <c r="A1" s="10" t="s">
        <v>70</v>
      </c>
    </row>
    <row r="2" spans="1:46" x14ac:dyDescent="0.2">
      <c r="A2" s="2" t="s">
        <v>71</v>
      </c>
      <c r="B2" s="2" t="s">
        <v>72</v>
      </c>
      <c r="C2" s="2" t="s">
        <v>21</v>
      </c>
      <c r="D2" s="2" t="s">
        <v>81</v>
      </c>
      <c r="E2" s="2" t="s">
        <v>73</v>
      </c>
      <c r="F2" s="2"/>
      <c r="G2" s="2" t="s">
        <v>82</v>
      </c>
      <c r="H2" s="2" t="s">
        <v>74</v>
      </c>
      <c r="I2" s="2" t="s">
        <v>75</v>
      </c>
      <c r="J2" s="2" t="s">
        <v>76</v>
      </c>
      <c r="K2" s="2" t="s">
        <v>77</v>
      </c>
      <c r="L2" s="2"/>
      <c r="M2" s="2" t="s">
        <v>78</v>
      </c>
      <c r="N2" s="2"/>
      <c r="O2" s="2" t="s">
        <v>83</v>
      </c>
      <c r="P2" s="2" t="s">
        <v>300</v>
      </c>
      <c r="Q2" s="2" t="s">
        <v>79</v>
      </c>
      <c r="R2" s="2" t="s">
        <v>80</v>
      </c>
      <c r="T2" t="s">
        <v>68</v>
      </c>
      <c r="U2" s="2" t="s">
        <v>310</v>
      </c>
      <c r="V2" s="2" t="s">
        <v>312</v>
      </c>
      <c r="W2" s="2" t="s">
        <v>311</v>
      </c>
      <c r="X2" s="2" t="s">
        <v>313</v>
      </c>
      <c r="AO2" t="s">
        <v>309</v>
      </c>
    </row>
    <row r="3" spans="1:46" x14ac:dyDescent="0.2">
      <c r="A3" s="19">
        <v>0.45833333333333331</v>
      </c>
      <c r="B3" s="18">
        <v>28.382400000000001</v>
      </c>
      <c r="C3" s="18">
        <v>35.452350000000003</v>
      </c>
      <c r="D3" s="2">
        <v>2313.69</v>
      </c>
      <c r="E3" s="18">
        <f>(D3/C3)*35.4</f>
        <v>2310.2735361689702</v>
      </c>
      <c r="F3" s="2"/>
      <c r="G3" s="18">
        <v>1922.9808989999999</v>
      </c>
      <c r="H3" s="18">
        <f>(G3/C3)*35.4</f>
        <v>1920.1413679093203</v>
      </c>
      <c r="I3" s="12">
        <v>1996.0291748046875</v>
      </c>
      <c r="J3" s="30">
        <v>8.018815</v>
      </c>
      <c r="K3" s="31">
        <v>10.399481711026231</v>
      </c>
      <c r="L3" s="14"/>
      <c r="M3" s="15">
        <v>8.1290121078491211</v>
      </c>
      <c r="N3" s="16"/>
      <c r="O3" s="18">
        <v>232.78</v>
      </c>
      <c r="P3" s="18">
        <f t="shared" ref="P3:P15" si="0">(O3/C3)*35.4</f>
        <v>232.43627009210954</v>
      </c>
      <c r="Q3" s="18">
        <v>194.72807069999999</v>
      </c>
      <c r="R3" s="18">
        <v>189.97860560000001</v>
      </c>
      <c r="S3" s="17"/>
      <c r="T3" s="17">
        <v>4.1666700000000008</v>
      </c>
      <c r="U3" s="17">
        <f>$AP$6+$AQ$6*B3+$AR$6*(B3^2)+$AS$6*(B3^3)+$AT$6*(B3^4)</f>
        <v>377.92443458635239</v>
      </c>
      <c r="V3">
        <f>(0.251*(T3)^2*(U3/660)^(-0.5))/100</f>
        <v>5.7586596925940634E-2</v>
      </c>
      <c r="W3" s="17">
        <f>$AP$5+$AQ$5*B3+$AR$5*(B3^2)+$AS$5*(B3^3)+$AT$5*(B3^4)</f>
        <v>444.0506807934529</v>
      </c>
      <c r="X3">
        <f>(0.251*(T3)^2*(W3/660)^(-0.5))/100</f>
        <v>5.3126062710610801E-2</v>
      </c>
      <c r="AO3" t="s">
        <v>301</v>
      </c>
      <c r="AP3" t="s">
        <v>303</v>
      </c>
    </row>
    <row r="4" spans="1:46" x14ac:dyDescent="0.2">
      <c r="A4" s="19">
        <v>0.54166666666666663</v>
      </c>
      <c r="B4" s="18">
        <v>28.969850000000001</v>
      </c>
      <c r="C4" s="18">
        <v>35.465800000000002</v>
      </c>
      <c r="D4" s="2">
        <v>2307.86</v>
      </c>
      <c r="E4" s="18">
        <f t="shared" ref="E4:E15" si="1">(D4/C4)*35.4</f>
        <v>2303.5782077381591</v>
      </c>
      <c r="F4" s="2"/>
      <c r="G4" s="18">
        <v>1893.1279010000001</v>
      </c>
      <c r="H4" s="18">
        <f t="shared" ref="H4:H15" si="2">(G4/C4)*35.4</f>
        <v>1889.6155647243258</v>
      </c>
      <c r="I4" s="12">
        <v>1990.860107421875</v>
      </c>
      <c r="J4" s="30">
        <v>7.2601880000000003</v>
      </c>
      <c r="K4" s="31">
        <v>10.256355583100445</v>
      </c>
      <c r="L4" s="14"/>
      <c r="M4" s="15">
        <v>8.1555814743041992</v>
      </c>
      <c r="N4" s="16"/>
      <c r="O4" s="18">
        <v>249.01</v>
      </c>
      <c r="P4" s="18">
        <f t="shared" si="0"/>
        <v>248.5480096318143</v>
      </c>
      <c r="Q4" s="18">
        <v>192.9085896</v>
      </c>
      <c r="R4" s="18">
        <v>188.20350199999999</v>
      </c>
      <c r="S4" s="17"/>
      <c r="T4" s="17">
        <v>3.7500030000000004</v>
      </c>
      <c r="U4" s="17">
        <f t="shared" ref="U4:U15" si="3">$AP$6+$AQ$6*B4+$AR$6*(B4^2)+$AS$6*(B4^3)+$AT$6*(B4^4)</f>
        <v>367.30209581352392</v>
      </c>
      <c r="V4">
        <f t="shared" ref="V4:V15" si="4">(0.251*(T4)^2*(U4/660)^(-0.5))/100</f>
        <v>4.7314822628388764E-2</v>
      </c>
      <c r="W4" s="17">
        <f t="shared" ref="W4:W15" si="5">$AP$5+$AQ$5*B4+$AR$5*(B4^2)+$AS$5*(B4^3)+$AT$5*(B4^4)</f>
        <v>431.63994898186286</v>
      </c>
      <c r="X4">
        <f t="shared" ref="X4:X15" si="6">(0.251*(T4)^2*(W4/660)^(-0.5))/100</f>
        <v>4.3646367322413518E-2</v>
      </c>
      <c r="AP4" t="s">
        <v>304</v>
      </c>
      <c r="AQ4" t="s">
        <v>305</v>
      </c>
      <c r="AR4" t="s">
        <v>306</v>
      </c>
      <c r="AS4" t="s">
        <v>307</v>
      </c>
      <c r="AT4" t="s">
        <v>308</v>
      </c>
    </row>
    <row r="5" spans="1:46" x14ac:dyDescent="0.2">
      <c r="A5" s="19">
        <v>0.625</v>
      </c>
      <c r="B5" s="18">
        <v>29.298500000000001</v>
      </c>
      <c r="C5" s="18">
        <v>35.474350000000001</v>
      </c>
      <c r="D5" s="2">
        <v>2288.9</v>
      </c>
      <c r="E5" s="18">
        <f t="shared" si="1"/>
        <v>2284.102739021293</v>
      </c>
      <c r="F5" s="2"/>
      <c r="G5" s="18">
        <v>1868.2767220000001</v>
      </c>
      <c r="H5" s="18">
        <f t="shared" si="2"/>
        <v>1864.3610371662905</v>
      </c>
      <c r="I5" s="12">
        <v>1987.9530029296875</v>
      </c>
      <c r="J5" s="30">
        <v>6.9830059999999996</v>
      </c>
      <c r="K5" s="31">
        <v>10.177792962758058</v>
      </c>
      <c r="L5" s="14"/>
      <c r="M5" s="15">
        <v>8.1623544692993164</v>
      </c>
      <c r="N5" s="16"/>
      <c r="O5" s="18">
        <v>257.62</v>
      </c>
      <c r="P5" s="18">
        <f t="shared" si="0"/>
        <v>257.08005925408077</v>
      </c>
      <c r="Q5" s="18">
        <v>191.90371440000001</v>
      </c>
      <c r="R5" s="18">
        <v>187.22313600000001</v>
      </c>
      <c r="S5" s="17"/>
      <c r="T5" s="17">
        <v>3.6111140000000002</v>
      </c>
      <c r="U5" s="17">
        <f t="shared" si="3"/>
        <v>361.48808788750944</v>
      </c>
      <c r="V5">
        <f t="shared" si="4"/>
        <v>4.4226349326630728E-2</v>
      </c>
      <c r="W5" s="17">
        <f t="shared" si="5"/>
        <v>424.85290978437854</v>
      </c>
      <c r="X5">
        <f t="shared" si="6"/>
        <v>4.0795173892078596E-2</v>
      </c>
      <c r="AO5" t="s">
        <v>302</v>
      </c>
      <c r="AP5" s="17">
        <v>2116.8000000000002</v>
      </c>
      <c r="AQ5" s="17">
        <v>-136.25</v>
      </c>
      <c r="AR5" s="17">
        <v>4.7352999999999996</v>
      </c>
      <c r="AS5" s="45">
        <v>-9.2307E-2</v>
      </c>
      <c r="AT5" s="46">
        <v>7.5549999999999999E-4</v>
      </c>
    </row>
    <row r="6" spans="1:46" x14ac:dyDescent="0.2">
      <c r="A6" s="19">
        <v>0.70833333333333304</v>
      </c>
      <c r="B6" s="18">
        <v>29.10435</v>
      </c>
      <c r="C6" s="18">
        <v>35.479550000000003</v>
      </c>
      <c r="D6" s="2">
        <v>2289.67</v>
      </c>
      <c r="E6" s="18">
        <f t="shared" si="1"/>
        <v>2284.5362469366155</v>
      </c>
      <c r="F6" s="2"/>
      <c r="G6" s="18">
        <v>1854.237922</v>
      </c>
      <c r="H6" s="18">
        <f t="shared" si="2"/>
        <v>1850.0804671648878</v>
      </c>
      <c r="I6" s="12">
        <v>1989.6109619140625</v>
      </c>
      <c r="J6" s="30">
        <v>6.5416400000000001</v>
      </c>
      <c r="K6" s="31">
        <v>10.223544817396885</v>
      </c>
      <c r="L6" s="14"/>
      <c r="M6" s="15">
        <v>8.1856975555419922</v>
      </c>
      <c r="N6" s="16"/>
      <c r="O6" s="18">
        <v>263.77999999999997</v>
      </c>
      <c r="P6" s="18">
        <f t="shared" si="0"/>
        <v>263.18856918985716</v>
      </c>
      <c r="Q6" s="18">
        <v>192.48375720000001</v>
      </c>
      <c r="R6" s="18">
        <v>187.7890314</v>
      </c>
      <c r="S6" s="17"/>
      <c r="T6" s="17">
        <v>3.7500030000000004</v>
      </c>
      <c r="U6" s="17">
        <f t="shared" si="3"/>
        <v>364.91156853380528</v>
      </c>
      <c r="V6">
        <f t="shared" si="4"/>
        <v>4.7469548796721564E-2</v>
      </c>
      <c r="W6" s="17">
        <f t="shared" si="5"/>
        <v>428.84890008559523</v>
      </c>
      <c r="X6">
        <f t="shared" si="6"/>
        <v>4.3788167360637481E-2</v>
      </c>
      <c r="AO6" t="s">
        <v>247</v>
      </c>
      <c r="AP6" s="17">
        <v>1920.4</v>
      </c>
      <c r="AQ6" s="17">
        <v>-135.6</v>
      </c>
      <c r="AR6" s="17">
        <v>5.2122000000000002</v>
      </c>
      <c r="AS6" s="43">
        <v>-0.10939</v>
      </c>
      <c r="AT6" s="46">
        <v>9.3769999999999997E-4</v>
      </c>
    </row>
    <row r="7" spans="1:46" x14ac:dyDescent="0.2">
      <c r="A7" s="19">
        <v>0.79166666666666596</v>
      </c>
      <c r="B7" s="18">
        <v>28.41835</v>
      </c>
      <c r="C7" s="18">
        <v>35.498950000000001</v>
      </c>
      <c r="D7" s="2">
        <v>2291.6</v>
      </c>
      <c r="E7" s="18">
        <f t="shared" si="1"/>
        <v>2285.2123795210841</v>
      </c>
      <c r="F7" s="2"/>
      <c r="G7" s="18">
        <v>1878.6712399999999</v>
      </c>
      <c r="H7" s="18">
        <f t="shared" si="2"/>
        <v>1873.4346197845284</v>
      </c>
      <c r="I7" s="12">
        <v>1995.4464111328125</v>
      </c>
      <c r="J7" s="30">
        <v>7.137785</v>
      </c>
      <c r="K7" s="31">
        <v>10.388218800498617</v>
      </c>
      <c r="L7" s="14"/>
      <c r="M7" s="15">
        <v>8.1636314392089844</v>
      </c>
      <c r="N7" s="16"/>
      <c r="O7" s="18">
        <v>226.46</v>
      </c>
      <c r="P7" s="18">
        <f t="shared" si="0"/>
        <v>225.82876394935624</v>
      </c>
      <c r="Q7" s="18">
        <v>194.5597181</v>
      </c>
      <c r="R7" s="18">
        <v>189.81435920000001</v>
      </c>
      <c r="S7" s="17"/>
      <c r="T7" s="17">
        <v>3.8888920000000002</v>
      </c>
      <c r="U7" s="17">
        <f t="shared" si="3"/>
        <v>377.26588276583334</v>
      </c>
      <c r="V7">
        <f t="shared" si="4"/>
        <v>5.0208088532416102E-2</v>
      </c>
      <c r="W7" s="17">
        <f t="shared" si="5"/>
        <v>443.28080730103966</v>
      </c>
      <c r="X7">
        <f t="shared" si="6"/>
        <v>4.6318873641768184E-2</v>
      </c>
    </row>
    <row r="8" spans="1:46" x14ac:dyDescent="0.2">
      <c r="A8" s="19">
        <v>0.875</v>
      </c>
      <c r="B8" s="18">
        <v>27.833950000000002</v>
      </c>
      <c r="C8" s="18">
        <v>35.519500000000001</v>
      </c>
      <c r="D8" s="2">
        <v>2310.27</v>
      </c>
      <c r="E8" s="18">
        <f t="shared" si="1"/>
        <v>2302.4974450653867</v>
      </c>
      <c r="F8" s="2"/>
      <c r="G8" s="18">
        <v>1905.2625029999999</v>
      </c>
      <c r="H8" s="18">
        <f t="shared" si="2"/>
        <v>1898.852534697842</v>
      </c>
      <c r="I8" s="12">
        <v>2000.374267578125</v>
      </c>
      <c r="J8" s="30">
        <v>7.4586110000000003</v>
      </c>
      <c r="K8" s="31">
        <v>10.532157056449389</v>
      </c>
      <c r="L8" s="14"/>
      <c r="M8" s="15">
        <v>8.1572723388671875</v>
      </c>
      <c r="N8" s="16"/>
      <c r="O8" s="18">
        <v>200.29</v>
      </c>
      <c r="P8" s="18">
        <f t="shared" si="0"/>
        <v>199.61615450667941</v>
      </c>
      <c r="Q8" s="18">
        <v>196.35808320000001</v>
      </c>
      <c r="R8" s="18">
        <v>191.56886159999999</v>
      </c>
      <c r="S8" s="17"/>
      <c r="T8" s="17">
        <v>3.8888920000000002</v>
      </c>
      <c r="U8" s="17">
        <f t="shared" si="3"/>
        <v>388.10969219909055</v>
      </c>
      <c r="V8">
        <f t="shared" si="4"/>
        <v>4.9501710928978815E-2</v>
      </c>
      <c r="W8" s="17">
        <f t="shared" si="5"/>
        <v>455.96592685329449</v>
      </c>
      <c r="X8">
        <f t="shared" si="6"/>
        <v>4.5670026000301858E-2</v>
      </c>
    </row>
    <row r="9" spans="1:46" x14ac:dyDescent="0.2">
      <c r="A9" s="19">
        <v>0.95833333333333304</v>
      </c>
      <c r="B9" s="18">
        <v>27.272400000000001</v>
      </c>
      <c r="C9" s="18">
        <v>35.517099999999999</v>
      </c>
      <c r="D9" s="2">
        <v>2316.44</v>
      </c>
      <c r="E9" s="18">
        <f t="shared" si="1"/>
        <v>2308.8026894087634</v>
      </c>
      <c r="F9" s="2"/>
      <c r="G9" s="18">
        <v>1967.62</v>
      </c>
      <c r="H9" s="18">
        <f t="shared" si="2"/>
        <v>1961.1327501400733</v>
      </c>
      <c r="I9" s="12">
        <v>2005.219970703125</v>
      </c>
      <c r="J9" s="30">
        <v>9.5200840000000007</v>
      </c>
      <c r="K9" s="31">
        <v>10.675121231886646</v>
      </c>
      <c r="L9" s="14"/>
      <c r="M9" s="15">
        <v>8.0809879302978516</v>
      </c>
      <c r="N9" s="16"/>
      <c r="O9" s="18">
        <v>168.86</v>
      </c>
      <c r="P9" s="18">
        <f t="shared" si="0"/>
        <v>168.30326800329985</v>
      </c>
      <c r="Q9" s="18">
        <v>198.14492430000001</v>
      </c>
      <c r="R9" s="18">
        <v>193.31212120000001</v>
      </c>
      <c r="S9" s="17"/>
      <c r="T9" s="17">
        <v>3.8888920000000002</v>
      </c>
      <c r="U9" s="17">
        <f t="shared" si="3"/>
        <v>398.81066192123455</v>
      </c>
      <c r="V9">
        <f t="shared" si="4"/>
        <v>4.8833075142486922E-2</v>
      </c>
      <c r="W9" s="17">
        <f t="shared" si="5"/>
        <v>468.50216832222173</v>
      </c>
      <c r="X9">
        <f t="shared" si="6"/>
        <v>4.5054860704913706E-2</v>
      </c>
    </row>
    <row r="10" spans="1:46" x14ac:dyDescent="0.2">
      <c r="A10" s="19">
        <v>1.0416666666666701</v>
      </c>
      <c r="B10" s="18">
        <v>27.14</v>
      </c>
      <c r="C10" s="18">
        <v>35.507599999999996</v>
      </c>
      <c r="D10" s="2">
        <v>2323.62</v>
      </c>
      <c r="E10" s="18">
        <f t="shared" si="1"/>
        <v>2316.5786479514245</v>
      </c>
      <c r="F10" s="2"/>
      <c r="G10" s="18">
        <v>1998.735019</v>
      </c>
      <c r="H10" s="18">
        <f t="shared" si="2"/>
        <v>1992.6781779844314</v>
      </c>
      <c r="I10" s="12">
        <v>2006.4111328125</v>
      </c>
      <c r="J10" s="30">
        <v>10.663318</v>
      </c>
      <c r="K10" s="31">
        <v>10.709827014465613</v>
      </c>
      <c r="L10" s="14"/>
      <c r="M10" s="15">
        <v>8.0441799163818359</v>
      </c>
      <c r="N10" s="16"/>
      <c r="O10" s="18">
        <v>164.03</v>
      </c>
      <c r="P10" s="18">
        <f t="shared" si="0"/>
        <v>163.53293379445529</v>
      </c>
      <c r="Q10" s="18">
        <v>198.58209170000001</v>
      </c>
      <c r="R10" s="18">
        <v>193.7386261</v>
      </c>
      <c r="S10" s="17"/>
      <c r="T10" s="17">
        <v>3.3333360000000001</v>
      </c>
      <c r="U10" s="17">
        <f t="shared" si="3"/>
        <v>401.37449603141778</v>
      </c>
      <c r="V10">
        <f t="shared" si="4"/>
        <v>3.5762592000120288E-2</v>
      </c>
      <c r="W10" s="17">
        <f t="shared" si="5"/>
        <v>471.50849437776088</v>
      </c>
      <c r="X10">
        <f t="shared" si="6"/>
        <v>3.2995834311904317E-2</v>
      </c>
    </row>
    <row r="11" spans="1:46" x14ac:dyDescent="0.2">
      <c r="A11" s="19">
        <v>1.125</v>
      </c>
      <c r="B11" s="18">
        <v>26.908950000000001</v>
      </c>
      <c r="C11" s="18">
        <v>35.538849999999996</v>
      </c>
      <c r="D11" s="2">
        <v>2316.92</v>
      </c>
      <c r="E11" s="18">
        <f t="shared" si="1"/>
        <v>2307.8678122674205</v>
      </c>
      <c r="F11" s="2"/>
      <c r="G11" s="18">
        <v>1980.598649</v>
      </c>
      <c r="H11" s="18">
        <f t="shared" si="2"/>
        <v>1972.8604660702304</v>
      </c>
      <c r="I11" s="12">
        <v>2008.2127685546875</v>
      </c>
      <c r="J11" s="30">
        <v>10.027920999999999</v>
      </c>
      <c r="K11" s="31">
        <v>10.768239129773466</v>
      </c>
      <c r="L11" s="14"/>
      <c r="M11" s="15">
        <v>8.0663671493530273</v>
      </c>
      <c r="N11" s="16"/>
      <c r="O11" s="18">
        <v>162.76</v>
      </c>
      <c r="P11" s="18">
        <f t="shared" si="0"/>
        <v>162.12409799416696</v>
      </c>
      <c r="Q11" s="18">
        <v>199.28885</v>
      </c>
      <c r="R11" s="18">
        <v>194.42814630000001</v>
      </c>
      <c r="S11" s="17"/>
      <c r="T11" s="17">
        <v>3.0555580000000004</v>
      </c>
      <c r="U11" s="17">
        <f t="shared" si="3"/>
        <v>405.88645788329092</v>
      </c>
      <c r="V11">
        <f t="shared" si="4"/>
        <v>2.988301907859876E-2</v>
      </c>
      <c r="W11" s="17">
        <f t="shared" si="5"/>
        <v>476.80180039519985</v>
      </c>
      <c r="X11">
        <f t="shared" si="6"/>
        <v>2.757133592072113E-2</v>
      </c>
    </row>
    <row r="12" spans="1:46" x14ac:dyDescent="0.2">
      <c r="A12" s="19">
        <v>1.2083333333333299</v>
      </c>
      <c r="B12" s="18">
        <v>26.658049999999999</v>
      </c>
      <c r="C12" s="18">
        <v>35.555599999999998</v>
      </c>
      <c r="D12" s="2">
        <v>2316.54</v>
      </c>
      <c r="E12" s="18">
        <f t="shared" si="1"/>
        <v>2306.4022544971817</v>
      </c>
      <c r="F12" s="2"/>
      <c r="G12" s="18">
        <v>1982.1698220000001</v>
      </c>
      <c r="H12" s="18">
        <f t="shared" si="2"/>
        <v>1973.4953621595473</v>
      </c>
      <c r="I12" s="12">
        <v>2010.264892578125</v>
      </c>
      <c r="J12" s="30">
        <v>10.079127</v>
      </c>
      <c r="K12" s="31">
        <v>10.833281991773054</v>
      </c>
      <c r="L12" s="14"/>
      <c r="M12" s="15">
        <v>8.066767692565918</v>
      </c>
      <c r="N12" s="16"/>
      <c r="O12" s="18">
        <v>161.29</v>
      </c>
      <c r="P12" s="18">
        <f t="shared" si="0"/>
        <v>160.58415551980559</v>
      </c>
      <c r="Q12" s="18">
        <v>200.0839584</v>
      </c>
      <c r="R12" s="18">
        <v>195.20386189999999</v>
      </c>
      <c r="S12" s="17"/>
      <c r="T12" s="17">
        <v>3.0555580000000004</v>
      </c>
      <c r="U12" s="17">
        <f t="shared" si="3"/>
        <v>410.84114335201332</v>
      </c>
      <c r="V12">
        <f t="shared" si="4"/>
        <v>2.9702280034431369E-2</v>
      </c>
      <c r="W12" s="17">
        <f t="shared" si="5"/>
        <v>482.61833321614859</v>
      </c>
      <c r="X12">
        <f t="shared" si="6"/>
        <v>2.7404686937435533E-2</v>
      </c>
    </row>
    <row r="13" spans="1:46" x14ac:dyDescent="0.2">
      <c r="A13" s="19">
        <v>1.2916666666666701</v>
      </c>
      <c r="B13" s="18">
        <v>26.271799999999999</v>
      </c>
      <c r="C13" s="18">
        <v>35.593600000000002</v>
      </c>
      <c r="D13" s="2">
        <v>2324.5500000000002</v>
      </c>
      <c r="E13" s="18">
        <f t="shared" si="1"/>
        <v>2311.9063539512717</v>
      </c>
      <c r="F13" s="2"/>
      <c r="G13" s="18">
        <v>2001.5290339999999</v>
      </c>
      <c r="H13" s="18">
        <f t="shared" si="2"/>
        <v>1990.6423571540947</v>
      </c>
      <c r="I13" s="12">
        <v>2013.3485107421875</v>
      </c>
      <c r="J13" s="30">
        <v>10.643373</v>
      </c>
      <c r="K13" s="31">
        <v>10.934114483832991</v>
      </c>
      <c r="L13" s="14"/>
      <c r="M13" s="15">
        <v>8.052398681640625</v>
      </c>
      <c r="N13" s="16"/>
      <c r="O13" s="18">
        <v>156.99</v>
      </c>
      <c r="P13" s="18">
        <f t="shared" si="0"/>
        <v>156.13610311966195</v>
      </c>
      <c r="Q13" s="18">
        <v>201.30463689999999</v>
      </c>
      <c r="R13" s="18">
        <v>196.39476769999999</v>
      </c>
      <c r="S13" s="17"/>
      <c r="T13" s="17">
        <v>3.3333360000000001</v>
      </c>
      <c r="U13" s="17">
        <f t="shared" si="3"/>
        <v>418.58273446021605</v>
      </c>
      <c r="V13">
        <f t="shared" si="4"/>
        <v>3.5019764345050837E-2</v>
      </c>
      <c r="W13" s="17">
        <f t="shared" si="5"/>
        <v>491.71444004509715</v>
      </c>
      <c r="X13">
        <f t="shared" si="6"/>
        <v>3.2310776375955898E-2</v>
      </c>
    </row>
    <row r="14" spans="1:46" x14ac:dyDescent="0.2">
      <c r="A14" s="19">
        <v>1.375</v>
      </c>
      <c r="B14" s="18">
        <v>26.379200000000001</v>
      </c>
      <c r="C14" s="18">
        <v>35.57</v>
      </c>
      <c r="D14" s="2">
        <v>2329.09</v>
      </c>
      <c r="E14" s="18">
        <f t="shared" si="1"/>
        <v>2317.9585605847624</v>
      </c>
      <c r="F14" s="2"/>
      <c r="G14" s="18">
        <v>1994.981503</v>
      </c>
      <c r="H14" s="18">
        <f t="shared" si="2"/>
        <v>1985.4468711329771</v>
      </c>
      <c r="I14" s="12">
        <v>2012.56591796875</v>
      </c>
      <c r="J14" s="30">
        <v>10.168132999999999</v>
      </c>
      <c r="K14" s="31">
        <v>10.906638995147574</v>
      </c>
      <c r="L14" s="14"/>
      <c r="M14" s="15">
        <v>8.0682077407836914</v>
      </c>
      <c r="N14" s="16"/>
      <c r="O14" s="18">
        <v>186.37</v>
      </c>
      <c r="P14" s="18">
        <f t="shared" si="0"/>
        <v>185.47928029238122</v>
      </c>
      <c r="Q14" s="18">
        <v>200.9804355</v>
      </c>
      <c r="R14" s="18">
        <v>196.07847369999999</v>
      </c>
      <c r="S14" s="17"/>
      <c r="T14" s="17">
        <v>3.8888920000000002</v>
      </c>
      <c r="U14" s="17">
        <f t="shared" si="3"/>
        <v>416.41608543655116</v>
      </c>
      <c r="V14">
        <f t="shared" si="4"/>
        <v>4.7789634096638299E-2</v>
      </c>
      <c r="W14" s="17">
        <f t="shared" si="5"/>
        <v>489.16774522531716</v>
      </c>
      <c r="X14">
        <f t="shared" si="6"/>
        <v>4.4092888237780244E-2</v>
      </c>
    </row>
    <row r="15" spans="1:46" x14ac:dyDescent="0.2">
      <c r="A15" s="19">
        <v>1.4583333333333299</v>
      </c>
      <c r="B15" s="18">
        <v>27.32395</v>
      </c>
      <c r="C15" s="18">
        <v>35.559800000000003</v>
      </c>
      <c r="D15" s="2">
        <v>2316.42</v>
      </c>
      <c r="E15" s="18">
        <f t="shared" si="1"/>
        <v>2306.0103825105875</v>
      </c>
      <c r="F15" s="2"/>
      <c r="G15" s="18">
        <v>1953.6173960000001</v>
      </c>
      <c r="H15" s="18">
        <f t="shared" si="2"/>
        <v>1944.8381548377661</v>
      </c>
      <c r="I15" s="12">
        <v>2004.53125</v>
      </c>
      <c r="J15" s="30">
        <v>8.958278</v>
      </c>
      <c r="K15" s="31">
        <v>10.659543809654528</v>
      </c>
      <c r="L15" s="14"/>
      <c r="M15" s="15">
        <v>8.1009206771850586</v>
      </c>
      <c r="N15" s="16"/>
      <c r="O15" s="18">
        <v>216.77</v>
      </c>
      <c r="P15" s="18">
        <f t="shared" si="0"/>
        <v>215.79587061794498</v>
      </c>
      <c r="Q15" s="18">
        <v>197.92628099999999</v>
      </c>
      <c r="R15" s="18">
        <v>193.0988108</v>
      </c>
      <c r="S15" s="17"/>
      <c r="T15" s="17">
        <v>4.0277810000000001</v>
      </c>
      <c r="U15" s="17">
        <f t="shared" si="3"/>
        <v>397.81667522503676</v>
      </c>
      <c r="V15">
        <f t="shared" si="4"/>
        <v>5.2448840954966255E-2</v>
      </c>
      <c r="W15" s="17">
        <f t="shared" si="5"/>
        <v>467.33692038207317</v>
      </c>
      <c r="X15">
        <f t="shared" si="6"/>
        <v>4.8390748625441432E-2</v>
      </c>
    </row>
    <row r="16" spans="1:46" x14ac:dyDescent="0.2">
      <c r="C16" s="1"/>
      <c r="D16" s="1"/>
    </row>
    <row r="17" spans="1:24" x14ac:dyDescent="0.2">
      <c r="A17" s="10" t="s">
        <v>84</v>
      </c>
      <c r="C17" s="1"/>
      <c r="D17" s="1"/>
      <c r="T17" s="17"/>
    </row>
    <row r="18" spans="1:24" x14ac:dyDescent="0.2">
      <c r="A18" s="2" t="s">
        <v>71</v>
      </c>
      <c r="B18" s="2" t="s">
        <v>72</v>
      </c>
      <c r="C18" s="2" t="s">
        <v>21</v>
      </c>
      <c r="D18" s="2" t="s">
        <v>81</v>
      </c>
      <c r="E18" s="2" t="s">
        <v>73</v>
      </c>
      <c r="F18" s="2"/>
      <c r="G18" s="2" t="s">
        <v>82</v>
      </c>
      <c r="H18" s="2" t="s">
        <v>74</v>
      </c>
      <c r="I18" s="2" t="s">
        <v>75</v>
      </c>
      <c r="J18" s="2" t="s">
        <v>76</v>
      </c>
      <c r="K18" s="2" t="s">
        <v>77</v>
      </c>
      <c r="L18" s="2"/>
      <c r="M18" s="2" t="s">
        <v>78</v>
      </c>
      <c r="N18" s="2"/>
      <c r="O18" s="2" t="s">
        <v>83</v>
      </c>
      <c r="P18" s="2" t="s">
        <v>300</v>
      </c>
      <c r="Q18" s="2" t="s">
        <v>79</v>
      </c>
      <c r="R18" s="2" t="s">
        <v>80</v>
      </c>
      <c r="T18" t="s">
        <v>68</v>
      </c>
      <c r="U18" s="2" t="s">
        <v>310</v>
      </c>
      <c r="V18" s="2" t="s">
        <v>312</v>
      </c>
      <c r="W18" s="2" t="s">
        <v>311</v>
      </c>
      <c r="X18" s="2" t="s">
        <v>313</v>
      </c>
    </row>
    <row r="19" spans="1:24" x14ac:dyDescent="0.2">
      <c r="A19" s="20">
        <v>42323.25</v>
      </c>
      <c r="B19" s="18">
        <v>27.401399999999999</v>
      </c>
      <c r="C19" s="2">
        <v>35.840000000000003</v>
      </c>
      <c r="D19" s="2">
        <v>2355.92</v>
      </c>
      <c r="E19" s="18">
        <f>(D19/C19)*35.4</f>
        <v>2326.9968749999998</v>
      </c>
      <c r="F19" s="2"/>
      <c r="G19" s="18">
        <v>2113.0300000000002</v>
      </c>
      <c r="H19" s="18">
        <f>(G19/C19)*35.4</f>
        <v>2087.0887834821428</v>
      </c>
      <c r="I19" s="12">
        <v>2002.24853515625</v>
      </c>
      <c r="J19" s="30">
        <v>16.476420999999998</v>
      </c>
      <c r="K19" s="31">
        <v>10.624513586422182</v>
      </c>
      <c r="L19" s="2"/>
      <c r="M19" s="15">
        <v>7.8885059356689453</v>
      </c>
      <c r="N19" s="2"/>
      <c r="O19" s="18">
        <v>209.0625</v>
      </c>
      <c r="P19" s="18">
        <f t="shared" ref="P19:P31" si="7">(O19/C19)*35.4</f>
        <v>206.49588448660711</v>
      </c>
      <c r="Q19" s="18">
        <v>197.328305</v>
      </c>
      <c r="R19" s="18">
        <v>192.5154197</v>
      </c>
      <c r="S19" s="17"/>
      <c r="T19" s="17">
        <v>3.0555580000000004</v>
      </c>
      <c r="U19" s="17">
        <f>$AP$6+$AQ$6*B19+$AR$6*(B19^2)+$AS$6*(B19^3)+$AT$6*(B19^4)</f>
        <v>396.32773730271037</v>
      </c>
      <c r="V19">
        <f>(0.251*(T19)^2*(U19/660)^(-0.5))/100</f>
        <v>3.0241234718532413E-2</v>
      </c>
      <c r="W19" s="17">
        <f>$AP$5+$AQ$5*B19+$AR$5*(B19^2)+$AS$5*(B19^3)+$AT$5*(B19^4)</f>
        <v>465.59174605269402</v>
      </c>
      <c r="X19">
        <f>(0.251*(T19)^2*(W19/660)^(-0.5))/100</f>
        <v>2.7901279304134583E-2</v>
      </c>
    </row>
    <row r="20" spans="1:24" x14ac:dyDescent="0.2">
      <c r="A20" s="20">
        <f>42323+(8/24)</f>
        <v>42323.333333333336</v>
      </c>
      <c r="B20" s="18">
        <v>27.7819</v>
      </c>
      <c r="C20" s="2">
        <v>35.770000000000003</v>
      </c>
      <c r="D20" s="2">
        <v>2350.6999999999998</v>
      </c>
      <c r="E20" s="18">
        <f t="shared" ref="E20:E31" si="8">(D20/C20)*35.4</f>
        <v>2326.3846798993563</v>
      </c>
      <c r="F20" s="2"/>
      <c r="G20" s="18">
        <v>2058.19</v>
      </c>
      <c r="H20" s="18">
        <f t="shared" ref="H20:H31" si="9">(G20/C20)*35.4</f>
        <v>2036.9003634330443</v>
      </c>
      <c r="I20" s="12">
        <v>1999.3712158203125</v>
      </c>
      <c r="J20" s="30">
        <v>12.904030000000001</v>
      </c>
      <c r="K20" s="31">
        <v>10.531851687986885</v>
      </c>
      <c r="L20" s="2"/>
      <c r="M20" s="15">
        <v>7.9729146957397461</v>
      </c>
      <c r="N20" s="2"/>
      <c r="O20" s="18">
        <v>200.9375</v>
      </c>
      <c r="P20" s="18">
        <f t="shared" si="7"/>
        <v>198.85902991333518</v>
      </c>
      <c r="Q20" s="18">
        <v>196.21128200000001</v>
      </c>
      <c r="R20" s="18">
        <v>191.42564060000001</v>
      </c>
      <c r="S20" s="17"/>
      <c r="T20" s="17">
        <v>2.9166690000000002</v>
      </c>
      <c r="U20" s="17">
        <f t="shared" ref="U20:U31" si="10">$AP$6+$AQ$6*B20+$AR$6*(B20^2)+$AS$6*(B20^3)+$AT$6*(B20^4)</f>
        <v>389.08989255288748</v>
      </c>
      <c r="V20">
        <f t="shared" ref="V20:V31" si="11">(0.251*(T20)^2*(U20/660)^(-0.5))/100</f>
        <v>2.7809616898254574E-2</v>
      </c>
      <c r="W20" s="17">
        <f t="shared" ref="W20:W31" si="12">$AP$5+$AQ$5*B20+$AR$5*(B20^2)+$AS$5*(B20^3)+$AT$5*(B20^4)</f>
        <v>457.11346622901192</v>
      </c>
      <c r="X20">
        <f t="shared" ref="X20:X31" si="13">(0.251*(T20)^2*(W20/660)^(-0.5))/100</f>
        <v>2.5657123992030562E-2</v>
      </c>
    </row>
    <row r="21" spans="1:24" x14ac:dyDescent="0.2">
      <c r="A21" s="20">
        <f>42323+(10/24)</f>
        <v>42323.416666666664</v>
      </c>
      <c r="B21" s="18">
        <v>28.5549</v>
      </c>
      <c r="C21" s="2">
        <v>35.76</v>
      </c>
      <c r="D21" s="2">
        <v>2325.8000000000002</v>
      </c>
      <c r="E21" s="18">
        <f t="shared" si="8"/>
        <v>2302.3859060402688</v>
      </c>
      <c r="F21" s="2"/>
      <c r="G21" s="18">
        <v>2000.62</v>
      </c>
      <c r="H21" s="18">
        <f t="shared" si="9"/>
        <v>1980.4795302013422</v>
      </c>
      <c r="I21" s="12">
        <v>1992.7376708984375</v>
      </c>
      <c r="J21" s="30">
        <v>10.964109000000001</v>
      </c>
      <c r="K21" s="31">
        <v>10.341239425259216</v>
      </c>
      <c r="L21" s="2"/>
      <c r="M21" s="15">
        <v>8.0192975997924805</v>
      </c>
      <c r="N21" s="2"/>
      <c r="O21" s="18">
        <v>240</v>
      </c>
      <c r="P21" s="18">
        <f t="shared" si="7"/>
        <v>237.58389261744966</v>
      </c>
      <c r="Q21" s="18">
        <v>193.81992600000001</v>
      </c>
      <c r="R21" s="18">
        <v>189.09261029999999</v>
      </c>
      <c r="S21" s="17"/>
      <c r="T21" s="17">
        <v>2.7777800000000004</v>
      </c>
      <c r="U21" s="17">
        <f t="shared" si="10"/>
        <v>374.77460452352727</v>
      </c>
      <c r="V21">
        <f t="shared" si="11"/>
        <v>2.5701371863696192E-2</v>
      </c>
      <c r="W21" s="17">
        <f t="shared" si="12"/>
        <v>440.36896020039376</v>
      </c>
      <c r="X21">
        <f t="shared" si="13"/>
        <v>2.3710080730799915E-2</v>
      </c>
    </row>
    <row r="22" spans="1:24" x14ac:dyDescent="0.2">
      <c r="A22" s="20">
        <f>42323+0.5</f>
        <v>42323.5</v>
      </c>
      <c r="B22" s="18">
        <v>29.3154</v>
      </c>
      <c r="C22" s="2">
        <v>35.75</v>
      </c>
      <c r="D22" s="2">
        <v>2320.98</v>
      </c>
      <c r="E22" s="18">
        <f t="shared" si="8"/>
        <v>2298.2571188811185</v>
      </c>
      <c r="F22" s="2"/>
      <c r="G22" s="18">
        <v>1971.94</v>
      </c>
      <c r="H22" s="18">
        <f t="shared" si="9"/>
        <v>1952.6342937062936</v>
      </c>
      <c r="I22" s="12">
        <v>1986.179931640625</v>
      </c>
      <c r="J22" s="30">
        <v>9.9123859999999997</v>
      </c>
      <c r="K22" s="31">
        <v>10.159784215188049</v>
      </c>
      <c r="L22" s="2"/>
      <c r="M22" s="15">
        <v>8.0465326309204102</v>
      </c>
      <c r="N22" s="2"/>
      <c r="O22" s="18">
        <v>256.875</v>
      </c>
      <c r="P22" s="18">
        <f t="shared" si="7"/>
        <v>254.36013986013984</v>
      </c>
      <c r="Q22" s="18">
        <v>191.52227500000001</v>
      </c>
      <c r="R22" s="18">
        <v>186.8510005</v>
      </c>
      <c r="S22" s="17"/>
      <c r="T22" s="17">
        <v>2.7777800000000004</v>
      </c>
      <c r="U22" s="17">
        <f t="shared" si="10"/>
        <v>361.19160952893196</v>
      </c>
      <c r="V22">
        <f t="shared" si="11"/>
        <v>2.6180175650463898E-2</v>
      </c>
      <c r="W22" s="17">
        <f t="shared" si="12"/>
        <v>424.50690687296412</v>
      </c>
      <c r="X22">
        <f t="shared" si="13"/>
        <v>2.4148991698302851E-2</v>
      </c>
    </row>
    <row r="23" spans="1:24" x14ac:dyDescent="0.2">
      <c r="A23" s="20">
        <f>42323+(16/24)</f>
        <v>42323.666666666664</v>
      </c>
      <c r="B23" s="18">
        <v>29.503299999999999</v>
      </c>
      <c r="C23" s="2">
        <v>35.76</v>
      </c>
      <c r="D23" s="2">
        <v>2309.88</v>
      </c>
      <c r="E23" s="18">
        <f t="shared" si="8"/>
        <v>2286.6261744966446</v>
      </c>
      <c r="F23" s="2"/>
      <c r="G23" s="18">
        <v>1950.36</v>
      </c>
      <c r="H23" s="18">
        <f t="shared" si="9"/>
        <v>1930.7255033557046</v>
      </c>
      <c r="I23" s="12">
        <v>1984.48095703125</v>
      </c>
      <c r="J23" s="30">
        <v>9.3915009999999999</v>
      </c>
      <c r="K23" s="31">
        <v>10.115222163451257</v>
      </c>
      <c r="L23" s="2"/>
      <c r="M23" s="15">
        <v>8.0614633560180664</v>
      </c>
      <c r="N23" s="2"/>
      <c r="O23" s="18">
        <v>263.75</v>
      </c>
      <c r="P23" s="18">
        <f t="shared" si="7"/>
        <v>261.09479865771812</v>
      </c>
      <c r="Q23" s="18">
        <v>190.94785999999999</v>
      </c>
      <c r="R23" s="18">
        <v>186.290595</v>
      </c>
      <c r="S23" s="17"/>
      <c r="T23" s="17">
        <v>2.7777800000000004</v>
      </c>
      <c r="U23" s="17">
        <f t="shared" si="10"/>
        <v>357.91169345596961</v>
      </c>
      <c r="V23">
        <f t="shared" si="11"/>
        <v>2.6299860129313547E-2</v>
      </c>
      <c r="W23" s="17">
        <f t="shared" si="12"/>
        <v>420.67964074424049</v>
      </c>
      <c r="X23">
        <f t="shared" si="13"/>
        <v>2.4258594522323415E-2</v>
      </c>
    </row>
    <row r="24" spans="1:24" x14ac:dyDescent="0.2">
      <c r="A24" s="20">
        <f>42323+(18/24)</f>
        <v>42323.75</v>
      </c>
      <c r="B24" s="18">
        <v>28.4176</v>
      </c>
      <c r="C24" s="2">
        <v>35.76</v>
      </c>
      <c r="D24" s="2">
        <v>2324.81</v>
      </c>
      <c r="E24" s="18">
        <f t="shared" si="8"/>
        <v>2301.4058724832212</v>
      </c>
      <c r="F24" s="2"/>
      <c r="G24" s="18">
        <v>1991.08</v>
      </c>
      <c r="H24" s="18">
        <f t="shared" si="9"/>
        <v>1971.0355704697986</v>
      </c>
      <c r="I24" s="12">
        <v>1993.9285888671875</v>
      </c>
      <c r="J24" s="30">
        <v>10.511736000000001</v>
      </c>
      <c r="K24" s="31">
        <v>10.374727786776434</v>
      </c>
      <c r="L24" s="2"/>
      <c r="M24" s="15">
        <v>8.0350542068481445</v>
      </c>
      <c r="N24" s="2"/>
      <c r="O24" s="18">
        <v>228.75</v>
      </c>
      <c r="P24" s="18">
        <f t="shared" si="7"/>
        <v>226.4471476510067</v>
      </c>
      <c r="Q24" s="18">
        <v>194.24268599999999</v>
      </c>
      <c r="R24" s="18">
        <v>189.50505939999999</v>
      </c>
      <c r="S24" s="17"/>
      <c r="T24" s="17">
        <v>3.0555580000000004</v>
      </c>
      <c r="U24" s="17">
        <f t="shared" si="10"/>
        <v>377.27961032556925</v>
      </c>
      <c r="V24">
        <f t="shared" si="11"/>
        <v>3.0995245850953809E-2</v>
      </c>
      <c r="W24" s="17">
        <f t="shared" si="12"/>
        <v>443.2968547330392</v>
      </c>
      <c r="X24">
        <f t="shared" si="13"/>
        <v>2.8594297276673234E-2</v>
      </c>
    </row>
    <row r="25" spans="1:24" x14ac:dyDescent="0.2">
      <c r="A25" s="20">
        <f>42323+(22/24)</f>
        <v>42323.916666666664</v>
      </c>
      <c r="B25" s="18">
        <v>27.393699999999999</v>
      </c>
      <c r="C25" s="2">
        <v>35.75</v>
      </c>
      <c r="D25" s="2">
        <v>2353.17</v>
      </c>
      <c r="E25" s="18">
        <f t="shared" si="8"/>
        <v>2330.1319720279721</v>
      </c>
      <c r="F25" s="2"/>
      <c r="G25" s="18">
        <v>2090.2600000000002</v>
      </c>
      <c r="H25" s="18">
        <f t="shared" si="9"/>
        <v>2069.7959160839164</v>
      </c>
      <c r="I25" s="12">
        <v>2002.8345947265625</v>
      </c>
      <c r="J25" s="30">
        <v>14.836183</v>
      </c>
      <c r="K25" s="31">
        <v>10.631353461475461</v>
      </c>
      <c r="L25" s="2"/>
      <c r="M25" s="15">
        <v>7.9270315170288086</v>
      </c>
      <c r="N25" s="2"/>
      <c r="O25" s="18">
        <v>170.625</v>
      </c>
      <c r="P25" s="18">
        <f t="shared" si="7"/>
        <v>168.95454545454544</v>
      </c>
      <c r="Q25" s="18">
        <v>197.46536699999999</v>
      </c>
      <c r="R25" s="18">
        <v>192.6491389</v>
      </c>
      <c r="S25" s="17"/>
      <c r="T25" s="17">
        <v>3.6111140000000002</v>
      </c>
      <c r="U25" s="17">
        <f t="shared" si="10"/>
        <v>396.47552709617696</v>
      </c>
      <c r="V25">
        <f t="shared" si="11"/>
        <v>4.2229884597660361E-2</v>
      </c>
      <c r="W25" s="17">
        <f t="shared" si="12"/>
        <v>465.76495323574034</v>
      </c>
      <c r="X25">
        <f t="shared" si="13"/>
        <v>3.8962308781060336E-2</v>
      </c>
    </row>
    <row r="26" spans="1:24" x14ac:dyDescent="0.2">
      <c r="A26" s="20">
        <f>42324</f>
        <v>42324</v>
      </c>
      <c r="B26" s="18">
        <v>27.312100000000001</v>
      </c>
      <c r="C26" s="2">
        <v>35.75</v>
      </c>
      <c r="D26" s="2">
        <v>2355.86</v>
      </c>
      <c r="E26" s="18">
        <f t="shared" si="8"/>
        <v>2332.7956363636367</v>
      </c>
      <c r="F26" s="2"/>
      <c r="G26" s="18">
        <v>2095.7600000000002</v>
      </c>
      <c r="H26" s="18">
        <f t="shared" si="9"/>
        <v>2075.2420699300701</v>
      </c>
      <c r="I26" s="12">
        <v>2003.5369873046875</v>
      </c>
      <c r="J26" s="30">
        <v>15.059975</v>
      </c>
      <c r="K26" s="31">
        <v>10.652255214851307</v>
      </c>
      <c r="L26" s="2"/>
      <c r="M26" s="15">
        <v>7.9227919578552246</v>
      </c>
      <c r="N26" s="2"/>
      <c r="O26" s="18">
        <v>174.375</v>
      </c>
      <c r="P26" s="18">
        <f t="shared" si="7"/>
        <v>172.66783216783216</v>
      </c>
      <c r="Q26" s="18">
        <v>197.725674</v>
      </c>
      <c r="R26" s="18">
        <v>192.90309669999999</v>
      </c>
      <c r="S26" s="17"/>
      <c r="T26" s="17">
        <v>3.6111140000000002</v>
      </c>
      <c r="U26" s="17">
        <f t="shared" si="10"/>
        <v>398.04495689555142</v>
      </c>
      <c r="V26">
        <f t="shared" si="11"/>
        <v>4.214654941515248E-2</v>
      </c>
      <c r="W26" s="17">
        <f t="shared" si="12"/>
        <v>467.60452000766537</v>
      </c>
      <c r="X26">
        <f t="shared" si="13"/>
        <v>3.8885593954665232E-2</v>
      </c>
    </row>
    <row r="27" spans="1:24" x14ac:dyDescent="0.2">
      <c r="A27" s="20">
        <f>42324+(2/24)</f>
        <v>42324.083333333336</v>
      </c>
      <c r="B27" s="18">
        <v>27.257000000000001</v>
      </c>
      <c r="C27" s="2">
        <v>35.75</v>
      </c>
      <c r="D27" s="2">
        <v>2360.02</v>
      </c>
      <c r="E27" s="18">
        <f t="shared" si="8"/>
        <v>2336.9149090909091</v>
      </c>
      <c r="F27" s="2"/>
      <c r="G27" s="18">
        <v>2104.75</v>
      </c>
      <c r="H27" s="18">
        <f t="shared" si="9"/>
        <v>2084.1440559440557</v>
      </c>
      <c r="I27" s="12">
        <v>2004.0111083984375</v>
      </c>
      <c r="J27" s="30">
        <v>15.467644</v>
      </c>
      <c r="K27" s="31">
        <v>10.666410705276967</v>
      </c>
      <c r="L27" s="2"/>
      <c r="M27" s="15">
        <v>7.9142756462097168</v>
      </c>
      <c r="N27" s="2"/>
      <c r="O27" s="18">
        <v>172.5</v>
      </c>
      <c r="P27" s="18">
        <f t="shared" si="7"/>
        <v>170.8111888111888</v>
      </c>
      <c r="Q27" s="18">
        <v>197.90182300000001</v>
      </c>
      <c r="R27" s="18">
        <v>193.0749495</v>
      </c>
      <c r="S27" s="17"/>
      <c r="T27" s="17">
        <v>3.7500030000000004</v>
      </c>
      <c r="U27" s="17">
        <f t="shared" si="10"/>
        <v>399.10806509813324</v>
      </c>
      <c r="V27">
        <f t="shared" si="11"/>
        <v>4.5390364216149746E-2</v>
      </c>
      <c r="W27" s="17">
        <f t="shared" si="12"/>
        <v>468.85084484254151</v>
      </c>
      <c r="X27">
        <f t="shared" si="13"/>
        <v>4.1878543426802375E-2</v>
      </c>
    </row>
    <row r="28" spans="1:24" x14ac:dyDescent="0.2">
      <c r="A28" s="20">
        <f>42324+(4/24)</f>
        <v>42324.166666666664</v>
      </c>
      <c r="B28" s="18">
        <v>27.1892</v>
      </c>
      <c r="C28" s="2">
        <v>35.75</v>
      </c>
      <c r="D28" s="2">
        <v>2359.56</v>
      </c>
      <c r="E28" s="18">
        <f t="shared" si="8"/>
        <v>2336.4594125874128</v>
      </c>
      <c r="F28" s="2"/>
      <c r="G28" s="18">
        <v>2116.14</v>
      </c>
      <c r="H28" s="18">
        <f t="shared" si="9"/>
        <v>2095.4225454545453</v>
      </c>
      <c r="I28" s="12">
        <v>2004.5943603515625</v>
      </c>
      <c r="J28" s="30">
        <v>16.399994</v>
      </c>
      <c r="K28" s="31">
        <v>10.683875646559432</v>
      </c>
      <c r="L28" s="2"/>
      <c r="M28" s="15">
        <v>7.8934955596923828</v>
      </c>
      <c r="N28" s="2"/>
      <c r="O28" s="18">
        <v>161.875</v>
      </c>
      <c r="P28" s="18">
        <f t="shared" si="7"/>
        <v>160.29020979020979</v>
      </c>
      <c r="Q28" s="18">
        <v>198.11899299999999</v>
      </c>
      <c r="R28" s="18">
        <v>193.28682230000001</v>
      </c>
      <c r="S28" s="17"/>
      <c r="T28" s="17">
        <v>3.8888920000000002</v>
      </c>
      <c r="U28" s="17">
        <f t="shared" si="10"/>
        <v>400.41993644915442</v>
      </c>
      <c r="V28">
        <f t="shared" si="11"/>
        <v>4.8734847089497213E-2</v>
      </c>
      <c r="W28" s="17">
        <f t="shared" si="12"/>
        <v>470.38906103865526</v>
      </c>
      <c r="X28">
        <f t="shared" si="13"/>
        <v>4.4964404610395185E-2</v>
      </c>
    </row>
    <row r="29" spans="1:24" x14ac:dyDescent="0.2">
      <c r="A29" s="20">
        <f>42324+(6/24)</f>
        <v>42324.25</v>
      </c>
      <c r="B29" s="18">
        <v>27.251799999999999</v>
      </c>
      <c r="C29" s="2">
        <v>35.74</v>
      </c>
      <c r="D29" s="2">
        <v>2357.86</v>
      </c>
      <c r="E29" s="18">
        <f t="shared" si="8"/>
        <v>2335.4293228875208</v>
      </c>
      <c r="F29" s="2"/>
      <c r="G29" s="18">
        <v>2092.7600000000002</v>
      </c>
      <c r="H29" s="18">
        <f t="shared" si="9"/>
        <v>2072.8512590934529</v>
      </c>
      <c r="I29" s="12">
        <v>2004.113525390625</v>
      </c>
      <c r="J29" s="30">
        <v>14.699607</v>
      </c>
      <c r="K29" s="31">
        <v>10.668292223098069</v>
      </c>
      <c r="L29" s="2"/>
      <c r="M29" s="15">
        <v>7.9325098991394043</v>
      </c>
      <c r="N29" s="2"/>
      <c r="O29" s="18">
        <v>178.4375</v>
      </c>
      <c r="P29" s="18">
        <f t="shared" si="7"/>
        <v>176.73999720201454</v>
      </c>
      <c r="Q29" s="18">
        <v>197.93101300000001</v>
      </c>
      <c r="R29" s="18">
        <v>193.10342739999999</v>
      </c>
      <c r="S29" s="17"/>
      <c r="T29" s="17">
        <v>3.8888920000000002</v>
      </c>
      <c r="U29" s="17">
        <f t="shared" si="10"/>
        <v>399.20853484870781</v>
      </c>
      <c r="V29">
        <f t="shared" si="11"/>
        <v>4.880873422743795E-2</v>
      </c>
      <c r="W29" s="17">
        <f t="shared" si="12"/>
        <v>468.96863921541797</v>
      </c>
      <c r="X29">
        <f t="shared" si="13"/>
        <v>4.5032447681771004E-2</v>
      </c>
    </row>
    <row r="30" spans="1:24" x14ac:dyDescent="0.2">
      <c r="A30" s="20">
        <f>42324+(8/24)</f>
        <v>42324.333333333336</v>
      </c>
      <c r="B30" s="18">
        <v>27.548500000000001</v>
      </c>
      <c r="C30" s="2">
        <v>35.74</v>
      </c>
      <c r="D30" s="2">
        <v>2343.12</v>
      </c>
      <c r="E30" s="18">
        <f t="shared" si="8"/>
        <v>2320.8295467263565</v>
      </c>
      <c r="F30" s="2"/>
      <c r="G30" s="18">
        <v>2064.7600000000002</v>
      </c>
      <c r="H30" s="18">
        <f t="shared" si="9"/>
        <v>2045.1176273083379</v>
      </c>
      <c r="I30" s="12">
        <v>2001.5587158203125</v>
      </c>
      <c r="J30" s="30">
        <v>13.666397</v>
      </c>
      <c r="K30" s="31">
        <v>10.592442597319279</v>
      </c>
      <c r="L30" s="2"/>
      <c r="M30" s="15">
        <v>7.9536457061767578</v>
      </c>
      <c r="N30" s="2"/>
      <c r="O30" s="18">
        <v>197.5</v>
      </c>
      <c r="P30" s="18">
        <f t="shared" si="7"/>
        <v>195.62115277000558</v>
      </c>
      <c r="Q30" s="18">
        <v>196.98584600000001</v>
      </c>
      <c r="R30" s="18">
        <v>192.18131289999999</v>
      </c>
      <c r="S30" s="17"/>
      <c r="T30" s="17">
        <v>3.8888920000000002</v>
      </c>
      <c r="U30" s="17">
        <f t="shared" si="10"/>
        <v>393.51447171866141</v>
      </c>
      <c r="V30">
        <f t="shared" si="11"/>
        <v>4.9160591507023101E-2</v>
      </c>
      <c r="W30" s="17">
        <f t="shared" si="12"/>
        <v>462.29532698256139</v>
      </c>
      <c r="X30">
        <f t="shared" si="13"/>
        <v>4.5356308670167031E-2</v>
      </c>
    </row>
    <row r="31" spans="1:24" x14ac:dyDescent="0.2">
      <c r="A31" s="20">
        <f>42324+(10/24)</f>
        <v>42324.416666666664</v>
      </c>
      <c r="B31" s="18">
        <v>28.464200000000002</v>
      </c>
      <c r="C31" s="2">
        <v>35.74</v>
      </c>
      <c r="D31" s="2">
        <v>2322.6</v>
      </c>
      <c r="E31" s="18">
        <f t="shared" si="8"/>
        <v>2300.5047565752657</v>
      </c>
      <c r="F31" s="2"/>
      <c r="G31" s="18">
        <v>1998.67</v>
      </c>
      <c r="H31" s="18">
        <f t="shared" si="9"/>
        <v>1979.6563514269726</v>
      </c>
      <c r="I31" s="12">
        <v>1993.6414794921875</v>
      </c>
      <c r="J31" s="30">
        <v>10.975228</v>
      </c>
      <c r="K31" s="31">
        <v>10.364385115915622</v>
      </c>
      <c r="L31" s="2"/>
      <c r="M31" s="15">
        <v>8.0194625854492188</v>
      </c>
      <c r="N31" s="2"/>
      <c r="O31" s="18">
        <v>237.5</v>
      </c>
      <c r="P31" s="18">
        <f t="shared" si="7"/>
        <v>235.24062674874088</v>
      </c>
      <c r="Q31" s="18">
        <v>194.12342200000001</v>
      </c>
      <c r="R31" s="18">
        <v>189.38870399999999</v>
      </c>
      <c r="S31" s="17"/>
      <c r="T31" s="17">
        <v>3.8888920000000002</v>
      </c>
      <c r="U31" s="17">
        <f t="shared" si="10"/>
        <v>376.42758950941243</v>
      </c>
      <c r="V31">
        <f t="shared" si="11"/>
        <v>5.0263963415743164E-2</v>
      </c>
      <c r="W31" s="17">
        <f t="shared" si="12"/>
        <v>442.30089865357445</v>
      </c>
      <c r="X31">
        <f t="shared" si="13"/>
        <v>4.6370154515914315E-2</v>
      </c>
    </row>
    <row r="32" spans="1:24" x14ac:dyDescent="0.2">
      <c r="T32" s="17"/>
    </row>
    <row r="33" spans="1:24" x14ac:dyDescent="0.2">
      <c r="A33" s="21" t="s">
        <v>85</v>
      </c>
    </row>
    <row r="34" spans="1:24" x14ac:dyDescent="0.2">
      <c r="A34" t="s">
        <v>71</v>
      </c>
      <c r="B34" t="s">
        <v>72</v>
      </c>
      <c r="C34" t="s">
        <v>21</v>
      </c>
      <c r="D34" t="s">
        <v>81</v>
      </c>
      <c r="E34" t="s">
        <v>73</v>
      </c>
      <c r="G34" t="s">
        <v>82</v>
      </c>
      <c r="H34" t="s">
        <v>74</v>
      </c>
      <c r="I34" t="s">
        <v>75</v>
      </c>
      <c r="J34" t="s">
        <v>76</v>
      </c>
      <c r="K34" t="s">
        <v>77</v>
      </c>
      <c r="M34" t="s">
        <v>78</v>
      </c>
      <c r="O34" t="s">
        <v>83</v>
      </c>
      <c r="P34" s="2" t="s">
        <v>300</v>
      </c>
      <c r="Q34" t="s">
        <v>79</v>
      </c>
      <c r="R34" t="s">
        <v>80</v>
      </c>
      <c r="T34" t="s">
        <v>68</v>
      </c>
      <c r="U34" s="2" t="s">
        <v>310</v>
      </c>
      <c r="V34" s="2" t="s">
        <v>312</v>
      </c>
      <c r="W34" s="2" t="s">
        <v>311</v>
      </c>
      <c r="X34" s="2" t="s">
        <v>313</v>
      </c>
    </row>
    <row r="35" spans="1:24" x14ac:dyDescent="0.2">
      <c r="A35" s="20">
        <v>42300.100694444445</v>
      </c>
      <c r="B35">
        <v>26.53</v>
      </c>
      <c r="C35" s="17">
        <v>36.1556</v>
      </c>
      <c r="D35">
        <v>2336.42</v>
      </c>
      <c r="E35" s="18">
        <f>(D35/C35)*35.4</f>
        <v>2287.5921848897542</v>
      </c>
      <c r="G35" s="17">
        <v>1900.75</v>
      </c>
      <c r="H35" s="18">
        <f>(G35/C35)*35.4</f>
        <v>1861.0270608149222</v>
      </c>
      <c r="I35" s="12">
        <v>2007.9312744140625</v>
      </c>
      <c r="J35" s="31">
        <v>6.6815275267483303</v>
      </c>
      <c r="K35" s="31">
        <v>10.833808273045957</v>
      </c>
      <c r="M35" s="15">
        <v>8.2039146423339844</v>
      </c>
      <c r="O35" s="17">
        <v>178.96</v>
      </c>
      <c r="P35" s="18">
        <f t="shared" ref="P35:P48" si="14">(O35/C35)*35.4</f>
        <v>175.21999358329001</v>
      </c>
      <c r="Q35" s="17">
        <v>199.738119495288</v>
      </c>
      <c r="R35" s="17">
        <f>Q35/1.025</f>
        <v>194.86645804418345</v>
      </c>
      <c r="S35" s="17"/>
      <c r="T35" s="17">
        <v>5.3644800000000004</v>
      </c>
      <c r="U35" s="17">
        <f>$AP$6+$AQ$6*B35+$AR$6*(B35^2)+$AS$6*(B35^3)+$AT$6*(B35^4)</f>
        <v>413.39219908023199</v>
      </c>
      <c r="V35">
        <f>(0.251*(T35)^2*(U35/660)^(-0.5))/100</f>
        <v>9.1268268571035108E-2</v>
      </c>
      <c r="W35" s="17">
        <f>$AP$5+$AQ$5*B35+$AR$5*(B35^2)+$AS$5*(B35^3)+$AT$5*(B35^4)</f>
        <v>485.61468412278901</v>
      </c>
      <c r="X35">
        <f>(0.251*(T35)^2*(W35/660)^(-0.5))/100</f>
        <v>8.420832812393883E-2</v>
      </c>
    </row>
    <row r="36" spans="1:24" x14ac:dyDescent="0.2">
      <c r="A36" s="20">
        <v>42300.260416666664</v>
      </c>
      <c r="B36">
        <v>26.16</v>
      </c>
      <c r="C36" s="17">
        <v>36.160299999999999</v>
      </c>
      <c r="D36">
        <v>2379.6</v>
      </c>
      <c r="E36" s="18">
        <f t="shared" ref="E36:E48" si="15">(D36/C36)*35.4</f>
        <v>2329.5669560263605</v>
      </c>
      <c r="G36" s="17">
        <v>2051.9499999999998</v>
      </c>
      <c r="H36" s="18">
        <f t="shared" ref="H36:H48" si="16">(G36/C36)*35.4</f>
        <v>2008.8060663213521</v>
      </c>
      <c r="I36" s="12">
        <v>2011.078369140625</v>
      </c>
      <c r="J36" s="31">
        <v>11.059618116988261</v>
      </c>
      <c r="K36" s="31">
        <v>10.932284338086886</v>
      </c>
      <c r="M36" s="15">
        <v>8.0434169769287109</v>
      </c>
      <c r="O36" s="17">
        <v>187.34</v>
      </c>
      <c r="P36" s="18">
        <f t="shared" si="14"/>
        <v>183.40102266850664</v>
      </c>
      <c r="Q36" s="17">
        <v>200.94631974997199</v>
      </c>
      <c r="R36" s="17">
        <f t="shared" ref="R36:R48" si="17">Q36/1.025</f>
        <v>196.04518999997268</v>
      </c>
      <c r="S36" s="17"/>
      <c r="T36" s="17">
        <v>4.91744</v>
      </c>
      <c r="U36" s="17">
        <f t="shared" ref="U36:U48" si="18">$AP$6+$AQ$6*B36+$AR$6*(B36^2)+$AS$6*(B36^3)+$AT$6*(B36^4)</f>
        <v>420.84976086100829</v>
      </c>
      <c r="V36">
        <f t="shared" ref="V36:V48" si="19">(0.251*(T36)^2*(U36/660)^(-0.5))/100</f>
        <v>7.6008171687422424E-2</v>
      </c>
      <c r="W36" s="17">
        <f t="shared" ref="W36:W48" si="20">$AP$5+$AQ$5*B36+$AR$5*(B36^2)+$AS$5*(B36^3)+$AT$5*(B36^4)</f>
        <v>494.37989974376427</v>
      </c>
      <c r="X36">
        <f t="shared" ref="X36:X48" si="21">(0.251*(T36)^2*(W36/660)^(-0.5))/100</f>
        <v>7.0128318523338687E-2</v>
      </c>
    </row>
    <row r="37" spans="1:24" x14ac:dyDescent="0.2">
      <c r="A37" s="20">
        <v>42300.333333333336</v>
      </c>
      <c r="B37">
        <v>26.56</v>
      </c>
      <c r="C37" s="17">
        <v>36.184199999999997</v>
      </c>
      <c r="D37">
        <v>2385.9499999999998</v>
      </c>
      <c r="E37" s="18">
        <f t="shared" si="15"/>
        <v>2334.2406354154577</v>
      </c>
      <c r="G37" s="17">
        <v>2037.9099999999999</v>
      </c>
      <c r="H37" s="18">
        <f t="shared" si="16"/>
        <v>1993.743512361749</v>
      </c>
      <c r="I37" s="12">
        <v>2007.509521484375</v>
      </c>
      <c r="J37" s="31">
        <v>10.217888079467469</v>
      </c>
      <c r="K37" s="31">
        <v>10.824283507235906</v>
      </c>
      <c r="M37" s="15">
        <v>8.0678443908691406</v>
      </c>
      <c r="O37" s="17">
        <v>200.71</v>
      </c>
      <c r="P37" s="18">
        <f t="shared" si="14"/>
        <v>196.36012403203611</v>
      </c>
      <c r="Q37" s="17">
        <v>199.60392923672899</v>
      </c>
      <c r="R37" s="17">
        <f t="shared" si="17"/>
        <v>194.73554071876001</v>
      </c>
      <c r="S37" s="17"/>
      <c r="T37" s="17">
        <v>4.4703999999999997</v>
      </c>
      <c r="U37" s="17">
        <f t="shared" si="18"/>
        <v>412.7931632449625</v>
      </c>
      <c r="V37">
        <f t="shared" si="19"/>
        <v>6.3426713720210817E-2</v>
      </c>
      <c r="W37" s="17">
        <f t="shared" si="20"/>
        <v>484.91099077705758</v>
      </c>
      <c r="X37">
        <f t="shared" si="21"/>
        <v>5.8520421328024652E-2</v>
      </c>
    </row>
    <row r="38" spans="1:24" x14ac:dyDescent="0.2">
      <c r="A38" s="20">
        <v>42300.416666666664</v>
      </c>
      <c r="B38">
        <v>27.18</v>
      </c>
      <c r="C38" s="17">
        <v>36.194000000000003</v>
      </c>
      <c r="D38">
        <v>2373.6799999999998</v>
      </c>
      <c r="E38" s="18">
        <f t="shared" si="15"/>
        <v>2321.6077802950758</v>
      </c>
      <c r="G38" s="17">
        <v>2003.845</v>
      </c>
      <c r="H38" s="18">
        <f t="shared" si="16"/>
        <v>1959.8859755760623</v>
      </c>
      <c r="I38" s="12">
        <v>2002.1142578125</v>
      </c>
      <c r="J38" s="31">
        <v>9.2723825295105105</v>
      </c>
      <c r="K38" s="31">
        <v>10.662062176407076</v>
      </c>
      <c r="M38" s="15">
        <v>8.0932836532592773</v>
      </c>
      <c r="O38" s="17">
        <v>221.68</v>
      </c>
      <c r="P38" s="18">
        <f t="shared" si="14"/>
        <v>216.81693098303583</v>
      </c>
      <c r="Q38" s="17">
        <v>197.591161283551</v>
      </c>
      <c r="R38" s="17">
        <f t="shared" si="17"/>
        <v>192.77186466687905</v>
      </c>
      <c r="S38" s="17"/>
      <c r="T38" s="17">
        <v>3.5763199999999999</v>
      </c>
      <c r="U38" s="17">
        <f t="shared" si="18"/>
        <v>400.5982660473714</v>
      </c>
      <c r="V38">
        <f t="shared" si="19"/>
        <v>4.120632651555968E-2</v>
      </c>
      <c r="W38" s="17">
        <f t="shared" si="20"/>
        <v>470.59818075087742</v>
      </c>
      <c r="X38">
        <f t="shared" si="21"/>
        <v>3.8018353993463261E-2</v>
      </c>
    </row>
    <row r="39" spans="1:24" x14ac:dyDescent="0.2">
      <c r="A39" s="20">
        <v>42300.5</v>
      </c>
      <c r="B39">
        <v>27.62</v>
      </c>
      <c r="C39" s="17">
        <v>36.191000000000003</v>
      </c>
      <c r="D39">
        <v>2344.02</v>
      </c>
      <c r="E39" s="18">
        <f t="shared" si="15"/>
        <v>2292.788483324583</v>
      </c>
      <c r="G39" s="17">
        <v>1982.145</v>
      </c>
      <c r="H39" s="18">
        <f t="shared" si="16"/>
        <v>1938.822718355392</v>
      </c>
      <c r="I39" s="12">
        <v>1998.32861328125</v>
      </c>
      <c r="J39" s="31">
        <v>9.4031468963436726</v>
      </c>
      <c r="K39" s="31">
        <v>10.55009504166574</v>
      </c>
      <c r="M39" s="15">
        <v>8.0798063278198242</v>
      </c>
      <c r="O39" s="17">
        <v>229.12</v>
      </c>
      <c r="P39" s="18">
        <f t="shared" si="14"/>
        <v>224.11229311154705</v>
      </c>
      <c r="Q39" s="17">
        <v>196.19885976542099</v>
      </c>
      <c r="R39" s="17">
        <f t="shared" si="17"/>
        <v>191.41352172236196</v>
      </c>
      <c r="S39" s="17"/>
      <c r="T39" s="17">
        <v>3.1292800000000001</v>
      </c>
      <c r="U39" s="17">
        <f t="shared" si="18"/>
        <v>392.15395199078773</v>
      </c>
      <c r="V39">
        <f t="shared" si="19"/>
        <v>3.1886455088909971E-2</v>
      </c>
      <c r="W39" s="17">
        <f t="shared" si="20"/>
        <v>460.70161282335465</v>
      </c>
      <c r="X39">
        <f t="shared" si="21"/>
        <v>2.9418780901385441E-2</v>
      </c>
    </row>
    <row r="40" spans="1:24" x14ac:dyDescent="0.2">
      <c r="A40" s="20">
        <v>42300.583333333336</v>
      </c>
      <c r="B40">
        <v>27.7</v>
      </c>
      <c r="C40" s="17">
        <v>36.185200000000002</v>
      </c>
      <c r="D40">
        <v>2364.16</v>
      </c>
      <c r="E40" s="18">
        <f t="shared" si="15"/>
        <v>2312.8589589113776</v>
      </c>
      <c r="G40" s="17">
        <v>1985.9050000000002</v>
      </c>
      <c r="H40" s="18">
        <f t="shared" si="16"/>
        <v>1942.8118954710765</v>
      </c>
      <c r="I40" s="12">
        <v>1997.669921875</v>
      </c>
      <c r="J40" s="31">
        <v>8.9313633874982603</v>
      </c>
      <c r="K40" s="31">
        <v>10.530246521086012</v>
      </c>
      <c r="M40" s="15">
        <v>8.0997104644775391</v>
      </c>
      <c r="O40" s="17">
        <v>226.57</v>
      </c>
      <c r="P40" s="18">
        <f t="shared" si="14"/>
        <v>221.6535489647701</v>
      </c>
      <c r="Q40" s="17">
        <v>195.95427844185201</v>
      </c>
      <c r="R40" s="17">
        <f t="shared" si="17"/>
        <v>191.17490579692881</v>
      </c>
      <c r="S40" s="17"/>
      <c r="T40" s="17">
        <v>2.9057599999999999</v>
      </c>
      <c r="U40" s="17">
        <f t="shared" si="18"/>
        <v>390.63702651257051</v>
      </c>
      <c r="V40">
        <f t="shared" si="19"/>
        <v>2.7547263844718239E-2</v>
      </c>
      <c r="W40" s="17">
        <f t="shared" si="20"/>
        <v>458.92503833654996</v>
      </c>
      <c r="X40">
        <f t="shared" si="21"/>
        <v>2.5415244670239982E-2</v>
      </c>
    </row>
    <row r="41" spans="1:24" x14ac:dyDescent="0.2">
      <c r="A41" s="20">
        <v>42300.666666666664</v>
      </c>
      <c r="B41">
        <v>27.4</v>
      </c>
      <c r="C41" s="17">
        <v>36.197000000000003</v>
      </c>
      <c r="D41">
        <v>2349.4899999999998</v>
      </c>
      <c r="E41" s="18">
        <f t="shared" si="15"/>
        <v>2297.7579909937281</v>
      </c>
      <c r="G41" s="17">
        <v>1983.105</v>
      </c>
      <c r="H41" s="18">
        <f t="shared" si="16"/>
        <v>1939.4402022267036</v>
      </c>
      <c r="I41" s="12">
        <v>2000.19677734375</v>
      </c>
      <c r="J41" s="31">
        <v>9.2353411569319306</v>
      </c>
      <c r="K41" s="31">
        <v>10.605569397012516</v>
      </c>
      <c r="M41" s="15">
        <v>8.0888223648071289</v>
      </c>
      <c r="O41" s="17">
        <v>221.94</v>
      </c>
      <c r="P41" s="18">
        <f t="shared" si="14"/>
        <v>217.05323645605986</v>
      </c>
      <c r="Q41" s="17">
        <v>196.88699594090599</v>
      </c>
      <c r="R41" s="17">
        <f t="shared" si="17"/>
        <v>192.08487408868879</v>
      </c>
      <c r="S41" s="17"/>
      <c r="T41" s="17">
        <v>2.9057599999999999</v>
      </c>
      <c r="U41" s="17">
        <f t="shared" si="18"/>
        <v>396.35460425552026</v>
      </c>
      <c r="V41">
        <f t="shared" si="19"/>
        <v>2.7347851792026381E-2</v>
      </c>
      <c r="W41" s="17">
        <f t="shared" si="20"/>
        <v>465.62323340879942</v>
      </c>
      <c r="X41">
        <f t="shared" si="21"/>
        <v>2.5231777728675769E-2</v>
      </c>
    </row>
    <row r="42" spans="1:24" x14ac:dyDescent="0.2">
      <c r="A42" s="20">
        <v>42300.739583333336</v>
      </c>
      <c r="B42">
        <v>27.02</v>
      </c>
      <c r="C42" s="17">
        <v>36.177799999999998</v>
      </c>
      <c r="D42">
        <v>2348.7199999999998</v>
      </c>
      <c r="E42" s="18">
        <f t="shared" si="15"/>
        <v>2298.2239937199056</v>
      </c>
      <c r="G42" s="17">
        <v>1992.54</v>
      </c>
      <c r="H42" s="18">
        <f t="shared" si="16"/>
        <v>1949.7016402324077</v>
      </c>
      <c r="I42" s="12">
        <v>2003.5875244140625</v>
      </c>
      <c r="J42" s="31">
        <v>9.5926048545135885</v>
      </c>
      <c r="K42" s="31">
        <v>10.704255329112073</v>
      </c>
      <c r="M42" s="15">
        <v>8.0795230865478516</v>
      </c>
      <c r="O42" s="17">
        <v>211.03</v>
      </c>
      <c r="P42" s="18">
        <f t="shared" si="14"/>
        <v>206.4929874121699</v>
      </c>
      <c r="Q42" s="17">
        <v>198.12399993025701</v>
      </c>
      <c r="R42" s="17">
        <f t="shared" si="17"/>
        <v>193.29170724903125</v>
      </c>
      <c r="S42" s="17"/>
      <c r="T42" s="17">
        <v>3.1292800000000001</v>
      </c>
      <c r="U42" s="17">
        <f t="shared" si="18"/>
        <v>403.71183420712339</v>
      </c>
      <c r="V42">
        <f t="shared" si="19"/>
        <v>3.1426701319081228E-2</v>
      </c>
      <c r="W42" s="17">
        <f t="shared" si="20"/>
        <v>474.25017595041669</v>
      </c>
      <c r="X42">
        <f t="shared" si="21"/>
        <v>2.8995512395401598E-2</v>
      </c>
    </row>
    <row r="43" spans="1:24" x14ac:dyDescent="0.2">
      <c r="A43" s="20">
        <v>42300.916666666664</v>
      </c>
      <c r="B43">
        <v>26.19</v>
      </c>
      <c r="C43" s="17">
        <v>35.829000000000001</v>
      </c>
      <c r="D43">
        <v>2350.8200000000002</v>
      </c>
      <c r="E43" s="18">
        <f t="shared" si="15"/>
        <v>2322.6723603784644</v>
      </c>
      <c r="G43" s="17">
        <v>2043.855</v>
      </c>
      <c r="H43" s="18">
        <f t="shared" si="16"/>
        <v>2019.3828183873397</v>
      </c>
      <c r="I43" s="12">
        <v>2012.7080078125</v>
      </c>
      <c r="J43" s="31">
        <v>11.784333322789001</v>
      </c>
      <c r="K43" s="31">
        <v>10.942868458633246</v>
      </c>
      <c r="M43" s="15">
        <v>8.0194025039672852</v>
      </c>
      <c r="O43" s="17">
        <v>185.6</v>
      </c>
      <c r="P43" s="18">
        <f t="shared" si="14"/>
        <v>183.37771079293307</v>
      </c>
      <c r="Q43" s="17">
        <v>201.27266108536401</v>
      </c>
      <c r="R43" s="17">
        <f t="shared" si="17"/>
        <v>196.36357179059905</v>
      </c>
      <c r="S43" s="17"/>
      <c r="T43" s="17">
        <v>4.4703999999999997</v>
      </c>
      <c r="U43" s="17">
        <f t="shared" si="18"/>
        <v>420.24026735549762</v>
      </c>
      <c r="V43">
        <f t="shared" si="19"/>
        <v>6.2862207243451346E-2</v>
      </c>
      <c r="W43" s="17">
        <f t="shared" si="20"/>
        <v>493.66320901440992</v>
      </c>
      <c r="X43">
        <f t="shared" si="21"/>
        <v>5.7999343414252634E-2</v>
      </c>
    </row>
    <row r="44" spans="1:24" x14ac:dyDescent="0.2">
      <c r="A44" s="20">
        <v>42301.00277777778</v>
      </c>
      <c r="B44">
        <v>26.13</v>
      </c>
      <c r="C44" s="17">
        <v>35.717399999999998</v>
      </c>
      <c r="D44">
        <v>2348.9699999999998</v>
      </c>
      <c r="E44" s="18">
        <f t="shared" si="15"/>
        <v>2328.096054024089</v>
      </c>
      <c r="G44" s="17">
        <v>2039.155</v>
      </c>
      <c r="H44" s="18">
        <f t="shared" si="16"/>
        <v>2021.0342018176016</v>
      </c>
      <c r="I44" s="12">
        <v>2013.8548583984375</v>
      </c>
      <c r="J44" s="31">
        <v>11.571991728154826</v>
      </c>
      <c r="K44" s="31">
        <v>10.965349152871045</v>
      </c>
      <c r="M44" s="15">
        <v>8.0271100997924805</v>
      </c>
      <c r="O44" s="17">
        <v>183.13</v>
      </c>
      <c r="P44" s="18">
        <f t="shared" si="14"/>
        <v>181.50262897075376</v>
      </c>
      <c r="Q44" s="17">
        <v>201.61498321372699</v>
      </c>
      <c r="R44" s="17">
        <f t="shared" si="17"/>
        <v>196.69754459875804</v>
      </c>
      <c r="S44" s="17"/>
      <c r="T44" s="17">
        <v>4.0233600000000003</v>
      </c>
      <c r="U44" s="17">
        <f t="shared" si="18"/>
        <v>421.46011393646438</v>
      </c>
      <c r="V44">
        <f t="shared" si="19"/>
        <v>5.0844647045551285E-2</v>
      </c>
      <c r="W44" s="17">
        <f t="shared" si="20"/>
        <v>495.09765820778307</v>
      </c>
      <c r="X44">
        <f t="shared" si="21"/>
        <v>4.6911361861620128E-2</v>
      </c>
    </row>
    <row r="45" spans="1:24" x14ac:dyDescent="0.2">
      <c r="A45" s="20">
        <v>42301.086111111108</v>
      </c>
      <c r="B45">
        <v>26.11</v>
      </c>
      <c r="C45" s="17">
        <v>35.916499999999999</v>
      </c>
      <c r="D45">
        <v>2360.96</v>
      </c>
      <c r="E45" s="18">
        <f t="shared" si="15"/>
        <v>2327.0080325198728</v>
      </c>
      <c r="G45" s="17">
        <v>2065.23</v>
      </c>
      <c r="H45" s="18">
        <f t="shared" si="16"/>
        <v>2035.5308006069633</v>
      </c>
      <c r="I45" s="12">
        <v>2012.89404296875</v>
      </c>
      <c r="J45" s="31">
        <v>12.542299624690012</v>
      </c>
      <c r="K45" s="31">
        <v>10.959507289281166</v>
      </c>
      <c r="M45" s="15">
        <v>7.9989023208618164</v>
      </c>
      <c r="O45" s="17">
        <v>179.91</v>
      </c>
      <c r="P45" s="18">
        <f t="shared" si="14"/>
        <v>177.32279036097614</v>
      </c>
      <c r="Q45" s="17">
        <v>201.42498342744699</v>
      </c>
      <c r="R45" s="17">
        <f t="shared" si="17"/>
        <v>196.51217895360685</v>
      </c>
      <c r="S45" s="17"/>
      <c r="T45" s="17">
        <v>2.6822400000000002</v>
      </c>
      <c r="U45" s="17">
        <f t="shared" si="18"/>
        <v>421.86749443090378</v>
      </c>
      <c r="V45">
        <f t="shared" si="19"/>
        <v>2.2586707466406706E-2</v>
      </c>
      <c r="W45" s="17">
        <f t="shared" si="20"/>
        <v>495.57675809952781</v>
      </c>
      <c r="X45">
        <f t="shared" si="21"/>
        <v>2.0839413577218937E-2</v>
      </c>
    </row>
    <row r="46" spans="1:24" x14ac:dyDescent="0.2">
      <c r="A46" s="20">
        <v>42301.166666666664</v>
      </c>
      <c r="B46">
        <v>26.05</v>
      </c>
      <c r="C46" s="17">
        <v>35.9938</v>
      </c>
      <c r="D46">
        <v>2361.85</v>
      </c>
      <c r="E46" s="18">
        <f t="shared" si="15"/>
        <v>2322.8858859025718</v>
      </c>
      <c r="G46" s="17">
        <v>2065.37</v>
      </c>
      <c r="H46" s="18">
        <f t="shared" si="16"/>
        <v>2031.297001150198</v>
      </c>
      <c r="I46" s="12">
        <v>2012.9676513671875</v>
      </c>
      <c r="J46" s="31">
        <v>12.51638159071992</v>
      </c>
      <c r="K46" s="31">
        <v>10.971360214131771</v>
      </c>
      <c r="M46" s="15">
        <v>7.9996480941772461</v>
      </c>
      <c r="O46" s="17">
        <v>180.34</v>
      </c>
      <c r="P46" s="18">
        <f t="shared" si="14"/>
        <v>177.36487950702622</v>
      </c>
      <c r="Q46" s="17">
        <v>201.524403167093</v>
      </c>
      <c r="R46" s="17">
        <f t="shared" si="17"/>
        <v>196.60917382155415</v>
      </c>
      <c r="S46" s="17"/>
      <c r="T46" s="17">
        <v>2.45872</v>
      </c>
      <c r="U46" s="17">
        <f t="shared" si="18"/>
        <v>423.09193849021091</v>
      </c>
      <c r="V46">
        <f t="shared" si="19"/>
        <v>1.8951625330133771E-2</v>
      </c>
      <c r="W46" s="17">
        <f t="shared" si="20"/>
        <v>497.01691724284689</v>
      </c>
      <c r="X46">
        <f t="shared" si="21"/>
        <v>1.7485507888413323E-2</v>
      </c>
    </row>
    <row r="47" spans="1:24" x14ac:dyDescent="0.2">
      <c r="A47" s="20">
        <v>42301.25</v>
      </c>
      <c r="B47">
        <v>25.95</v>
      </c>
      <c r="C47" s="17">
        <v>36.057200000000002</v>
      </c>
      <c r="D47">
        <v>2370.13</v>
      </c>
      <c r="E47" s="18">
        <f t="shared" si="15"/>
        <v>2326.9305991591141</v>
      </c>
      <c r="G47" s="17">
        <v>2073.7950000000001</v>
      </c>
      <c r="H47" s="18">
        <f t="shared" si="16"/>
        <v>2035.9967773426665</v>
      </c>
      <c r="I47" s="12">
        <v>2013.462158203125</v>
      </c>
      <c r="J47" s="31">
        <v>12.612188097905261</v>
      </c>
      <c r="K47" s="31">
        <v>10.994884949620376</v>
      </c>
      <c r="M47" s="15">
        <v>7.998619556427002</v>
      </c>
      <c r="O47" s="17">
        <v>179.62</v>
      </c>
      <c r="P47" s="18">
        <f t="shared" si="14"/>
        <v>176.3461389126166</v>
      </c>
      <c r="Q47" s="17">
        <v>201.77487035789301</v>
      </c>
      <c r="R47" s="17">
        <f t="shared" si="17"/>
        <v>196.85353205648099</v>
      </c>
      <c r="S47" s="17"/>
      <c r="T47" s="17">
        <v>3.1292800000000001</v>
      </c>
      <c r="U47" s="17">
        <f t="shared" si="18"/>
        <v>425.14038737751071</v>
      </c>
      <c r="V47">
        <f t="shared" si="19"/>
        <v>3.0624454122267802E-2</v>
      </c>
      <c r="W47" s="17">
        <f t="shared" si="20"/>
        <v>499.42675307659658</v>
      </c>
      <c r="X47">
        <f t="shared" si="21"/>
        <v>2.8255216333297226E-2</v>
      </c>
    </row>
    <row r="48" spans="1:24" x14ac:dyDescent="0.2">
      <c r="A48" s="20">
        <v>42301.354166666664</v>
      </c>
      <c r="B48">
        <v>26.48</v>
      </c>
      <c r="C48" s="17">
        <v>36.111400000000003</v>
      </c>
      <c r="D48">
        <v>2355.0100000000002</v>
      </c>
      <c r="E48" s="18">
        <f t="shared" si="15"/>
        <v>2308.6159495339421</v>
      </c>
      <c r="G48" s="17">
        <v>2043.7649999999999</v>
      </c>
      <c r="H48" s="18">
        <f t="shared" si="16"/>
        <v>2003.5025227490482</v>
      </c>
      <c r="I48" s="12">
        <v>2008.6134033203125</v>
      </c>
      <c r="J48" s="31">
        <v>11.713310851648677</v>
      </c>
      <c r="K48" s="31">
        <v>10.849521390201687</v>
      </c>
      <c r="M48" s="15">
        <v>8.0168733596801758</v>
      </c>
      <c r="O48" s="17">
        <v>201.52</v>
      </c>
      <c r="P48" s="18">
        <f t="shared" si="14"/>
        <v>197.55002575364011</v>
      </c>
      <c r="Q48" s="17">
        <v>199.95768591237001</v>
      </c>
      <c r="R48" s="17">
        <f t="shared" si="17"/>
        <v>195.08066918280002</v>
      </c>
      <c r="S48" s="17"/>
      <c r="T48" s="17">
        <v>3.5763199999999999</v>
      </c>
      <c r="U48" s="17">
        <f t="shared" si="18"/>
        <v>414.39245613493057</v>
      </c>
      <c r="V48">
        <f t="shared" si="19"/>
        <v>4.051468921216031E-2</v>
      </c>
      <c r="W48" s="17">
        <f t="shared" si="20"/>
        <v>486.7898237287626</v>
      </c>
      <c r="X48">
        <f t="shared" si="21"/>
        <v>3.7380722110870665E-2</v>
      </c>
    </row>
    <row r="49" spans="1:24" x14ac:dyDescent="0.2">
      <c r="T49" s="17"/>
    </row>
    <row r="50" spans="1:24" x14ac:dyDescent="0.2">
      <c r="A50" s="10" t="s">
        <v>86</v>
      </c>
    </row>
    <row r="51" spans="1:24" x14ac:dyDescent="0.2">
      <c r="A51" t="s">
        <v>71</v>
      </c>
      <c r="B51" t="s">
        <v>72</v>
      </c>
      <c r="C51" t="s">
        <v>21</v>
      </c>
      <c r="D51" t="s">
        <v>81</v>
      </c>
      <c r="E51" t="s">
        <v>73</v>
      </c>
      <c r="G51" t="s">
        <v>82</v>
      </c>
      <c r="H51" t="s">
        <v>74</v>
      </c>
      <c r="I51" t="s">
        <v>75</v>
      </c>
      <c r="J51" t="s">
        <v>76</v>
      </c>
      <c r="K51" t="s">
        <v>77</v>
      </c>
      <c r="M51" t="s">
        <v>78</v>
      </c>
      <c r="O51" t="s">
        <v>83</v>
      </c>
      <c r="P51" s="2" t="s">
        <v>300</v>
      </c>
      <c r="Q51" t="s">
        <v>79</v>
      </c>
      <c r="R51" t="s">
        <v>80</v>
      </c>
      <c r="T51" t="s">
        <v>68</v>
      </c>
      <c r="U51" s="2" t="s">
        <v>310</v>
      </c>
      <c r="V51" s="2" t="s">
        <v>312</v>
      </c>
      <c r="W51" s="2" t="s">
        <v>311</v>
      </c>
      <c r="X51" s="2" t="s">
        <v>313</v>
      </c>
    </row>
    <row r="52" spans="1:24" x14ac:dyDescent="0.2">
      <c r="A52" s="20">
        <v>42817.4375</v>
      </c>
      <c r="B52" s="17">
        <v>29.844799999999999</v>
      </c>
      <c r="C52" s="17">
        <v>35.829599999999999</v>
      </c>
      <c r="D52">
        <v>2303.71</v>
      </c>
      <c r="E52" s="18">
        <f>(D52/C52)*35.4</f>
        <v>2276.0883180387168</v>
      </c>
      <c r="G52" s="17">
        <v>1975.59</v>
      </c>
      <c r="H52" s="18">
        <f>(G52/C52)*35.4</f>
        <v>1951.9025051912383</v>
      </c>
      <c r="I52" s="12">
        <v>1981.0821533203125</v>
      </c>
      <c r="J52" s="31">
        <v>10.835258116320906</v>
      </c>
      <c r="K52" s="31">
        <v>10.032578281191908</v>
      </c>
      <c r="M52" s="15">
        <v>8.0069999999999997</v>
      </c>
      <c r="O52" s="17">
        <v>215.31</v>
      </c>
      <c r="P52" s="18">
        <f t="shared" ref="P52:P65" si="22">(O52/C52)*35.4</f>
        <v>212.72841449527766</v>
      </c>
      <c r="Q52" s="17">
        <v>189.851428292349</v>
      </c>
      <c r="R52" s="17">
        <f>Q52/1.025</f>
        <v>185.2209056510722</v>
      </c>
      <c r="S52" s="17"/>
      <c r="T52" s="17">
        <v>7.1526399999999999</v>
      </c>
      <c r="U52" s="17">
        <f>$AP$6+$AQ$6*B52+$AR$6*(B52^2)+$AS$6*(B52^3)+$AT$6*(B52^4)</f>
        <v>352.02790951456791</v>
      </c>
      <c r="V52">
        <f>(0.251*(T52)^2*(U52/660)^(-0.5))/100</f>
        <v>0.17582874453004574</v>
      </c>
      <c r="W52" s="17">
        <f>$AP$5+$AQ$5*B52+$AR$5*(B52^2)+$AS$5*(B52^3)+$AT$5*(B52^4)</f>
        <v>413.81605051680936</v>
      </c>
      <c r="X52">
        <f>(0.251*(T52)^2*(W52/660)^(-0.5))/100</f>
        <v>0.16217158363739748</v>
      </c>
    </row>
    <row r="53" spans="1:24" x14ac:dyDescent="0.2">
      <c r="A53" s="20">
        <v>42817.5</v>
      </c>
      <c r="B53" s="17">
        <v>30.578099999999999</v>
      </c>
      <c r="C53" s="17">
        <v>35.902900000000002</v>
      </c>
      <c r="D53">
        <v>2306.1999999999998</v>
      </c>
      <c r="E53" s="18">
        <f t="shared" ref="E53:E65" si="23">(D53/C53)*35.4</f>
        <v>2273.8965376055971</v>
      </c>
      <c r="G53" s="17">
        <v>1918.7350000000001</v>
      </c>
      <c r="H53" s="18">
        <f t="shared" ref="H53:H65" si="24">(G53/C53)*35.4</f>
        <v>1891.858847056923</v>
      </c>
      <c r="I53" s="12">
        <v>1974.2073974609375</v>
      </c>
      <c r="J53" s="31">
        <v>8.4505994075155009</v>
      </c>
      <c r="K53" s="31">
        <v>9.862929576567435</v>
      </c>
      <c r="M53" s="15">
        <v>8.0850000000000009</v>
      </c>
      <c r="O53" s="17">
        <v>250.48</v>
      </c>
      <c r="P53" s="18">
        <f t="shared" si="22"/>
        <v>246.97147027120369</v>
      </c>
      <c r="Q53" s="17">
        <v>187.62488063931099</v>
      </c>
      <c r="R53" s="17">
        <f t="shared" ref="R53:R65" si="25">Q53/1.025</f>
        <v>183.0486640383522</v>
      </c>
      <c r="S53" s="17"/>
      <c r="T53" s="17">
        <v>7.1526399999999999</v>
      </c>
      <c r="U53" s="17">
        <f t="shared" ref="U53:U65" si="26">$AP$6+$AQ$6*B53+$AR$6*(B53^2)+$AS$6*(B53^3)+$AT$6*(B53^4)</f>
        <v>339.73319517045684</v>
      </c>
      <c r="V53">
        <f t="shared" ref="V53:V65" si="27">(0.251*(T53)^2*(U53/660)^(-0.5))/100</f>
        <v>0.17898203086483364</v>
      </c>
      <c r="W53" s="17">
        <f t="shared" ref="W53:W65" si="28">$AP$5+$AQ$5*B53+$AR$5*(B53^2)+$AS$5*(B53^3)+$AT$5*(B53^4)</f>
        <v>399.4780841457432</v>
      </c>
      <c r="X53">
        <f t="shared" ref="X53:X65" si="29">(0.251*(T53)^2*(W53/660)^(-0.5))/100</f>
        <v>0.1650562387208224</v>
      </c>
    </row>
    <row r="54" spans="1:24" x14ac:dyDescent="0.2">
      <c r="A54" s="20">
        <f t="shared" ref="A54:A65" si="30">A53+(1/24*2)</f>
        <v>42817.583333333336</v>
      </c>
      <c r="B54" s="17">
        <v>31.066199999999998</v>
      </c>
      <c r="C54" s="17">
        <v>35.922899999999998</v>
      </c>
      <c r="D54">
        <v>2288.5500000000002</v>
      </c>
      <c r="E54" s="18">
        <f t="shared" si="23"/>
        <v>2255.2374669082956</v>
      </c>
      <c r="G54" s="17">
        <v>1893.2150000000001</v>
      </c>
      <c r="H54" s="18">
        <f t="shared" si="24"/>
        <v>1865.6570321438414</v>
      </c>
      <c r="I54" s="12">
        <v>1969.7845458984375</v>
      </c>
      <c r="J54" s="31">
        <v>8.0951190332559726</v>
      </c>
      <c r="K54" s="31">
        <v>9.7543111413798602</v>
      </c>
      <c r="M54" s="15">
        <v>8.0920000000000005</v>
      </c>
      <c r="O54" s="17">
        <v>264.07</v>
      </c>
      <c r="P54" s="18">
        <f t="shared" si="22"/>
        <v>260.22615100673943</v>
      </c>
      <c r="Q54" s="17">
        <v>186.20328146245299</v>
      </c>
      <c r="R54" s="17">
        <f t="shared" si="25"/>
        <v>181.66173801214927</v>
      </c>
      <c r="S54" s="17"/>
      <c r="T54" s="17">
        <v>7.5996800000000002</v>
      </c>
      <c r="U54" s="17">
        <f t="shared" si="26"/>
        <v>331.81014947221468</v>
      </c>
      <c r="V54">
        <f t="shared" si="27"/>
        <v>0.20445204919648069</v>
      </c>
      <c r="W54" s="17">
        <f t="shared" si="28"/>
        <v>390.23628061416946</v>
      </c>
      <c r="X54">
        <f t="shared" si="29"/>
        <v>0.18852653217722232</v>
      </c>
    </row>
    <row r="55" spans="1:24" x14ac:dyDescent="0.2">
      <c r="A55" s="20">
        <f t="shared" si="30"/>
        <v>42817.666666666672</v>
      </c>
      <c r="B55" s="17">
        <v>31.084599999999998</v>
      </c>
      <c r="C55" s="17">
        <v>35.941299999999998</v>
      </c>
      <c r="D55">
        <v>2274.08</v>
      </c>
      <c r="E55" s="18">
        <f t="shared" si="23"/>
        <v>2239.8308352786348</v>
      </c>
      <c r="G55" s="17">
        <v>1847.53</v>
      </c>
      <c r="H55" s="18">
        <f t="shared" si="24"/>
        <v>1819.7049633708295</v>
      </c>
      <c r="I55" s="12">
        <v>1969.5111083984375</v>
      </c>
      <c r="J55" s="31">
        <v>6.9819268999897925</v>
      </c>
      <c r="K55" s="31">
        <v>9.7494145539233923</v>
      </c>
      <c r="M55" s="15">
        <v>8.1389999999999993</v>
      </c>
      <c r="O55" s="17">
        <v>275.24</v>
      </c>
      <c r="P55" s="18">
        <f t="shared" si="22"/>
        <v>271.094701638505</v>
      </c>
      <c r="Q55" s="17">
        <v>186.12978027953699</v>
      </c>
      <c r="R55" s="17">
        <f t="shared" si="25"/>
        <v>181.59002954101172</v>
      </c>
      <c r="S55" s="17"/>
      <c r="T55" s="17">
        <v>7.5996800000000002</v>
      </c>
      <c r="U55" s="17">
        <f t="shared" si="26"/>
        <v>331.51561046453162</v>
      </c>
      <c r="V55">
        <f t="shared" si="27"/>
        <v>0.20454285296579278</v>
      </c>
      <c r="W55" s="17">
        <f t="shared" si="28"/>
        <v>389.89261269600502</v>
      </c>
      <c r="X55">
        <f t="shared" si="29"/>
        <v>0.18860960152469392</v>
      </c>
    </row>
    <row r="56" spans="1:24" x14ac:dyDescent="0.2">
      <c r="A56" s="20">
        <f t="shared" si="30"/>
        <v>42817.750000000007</v>
      </c>
      <c r="B56" s="17">
        <v>30.381799999999998</v>
      </c>
      <c r="C56" s="17">
        <v>35.945399999999999</v>
      </c>
      <c r="D56">
        <v>2298.0700000000002</v>
      </c>
      <c r="E56" s="18">
        <f t="shared" si="23"/>
        <v>2263.2013553890069</v>
      </c>
      <c r="G56" s="17">
        <v>1883.5149999999999</v>
      </c>
      <c r="H56" s="18">
        <f t="shared" si="24"/>
        <v>1854.9364035453768</v>
      </c>
      <c r="I56" s="12">
        <v>1975.6800537109375</v>
      </c>
      <c r="J56" s="31">
        <v>7.4435338766004699</v>
      </c>
      <c r="K56" s="31">
        <v>9.9047740040776606</v>
      </c>
      <c r="M56" s="15">
        <v>8.1280000000000001</v>
      </c>
      <c r="O56" s="17">
        <v>243.58</v>
      </c>
      <c r="P56" s="18">
        <f t="shared" si="22"/>
        <v>239.88415763908597</v>
      </c>
      <c r="Q56" s="17">
        <v>188.14340738636699</v>
      </c>
      <c r="R56" s="17">
        <f t="shared" si="25"/>
        <v>183.55454379157757</v>
      </c>
      <c r="S56" s="17"/>
      <c r="T56" s="17">
        <v>7.1526399999999999</v>
      </c>
      <c r="U56" s="17">
        <f t="shared" si="26"/>
        <v>342.97869418727953</v>
      </c>
      <c r="V56">
        <f t="shared" si="27"/>
        <v>0.17813319281643428</v>
      </c>
      <c r="W56" s="17">
        <f t="shared" si="28"/>
        <v>403.26288192330901</v>
      </c>
      <c r="X56">
        <f t="shared" si="29"/>
        <v>0.16427985039749507</v>
      </c>
    </row>
    <row r="57" spans="1:24" x14ac:dyDescent="0.2">
      <c r="A57" s="20">
        <f t="shared" si="30"/>
        <v>42817.833333333343</v>
      </c>
      <c r="B57" s="17">
        <v>29.067699999999999</v>
      </c>
      <c r="C57" s="17">
        <v>35.928600000000003</v>
      </c>
      <c r="D57">
        <v>2336.9</v>
      </c>
      <c r="E57" s="18">
        <f t="shared" si="23"/>
        <v>2302.5183280172341</v>
      </c>
      <c r="G57" s="17">
        <v>1980.085</v>
      </c>
      <c r="H57" s="18">
        <f t="shared" si="24"/>
        <v>1950.9529733972374</v>
      </c>
      <c r="I57" s="12">
        <v>1987.28662109375</v>
      </c>
      <c r="J57" s="31">
        <v>9.7171961058394825</v>
      </c>
      <c r="K57" s="31">
        <v>10.209257077732754</v>
      </c>
      <c r="M57" s="15">
        <v>8.0559999999999992</v>
      </c>
      <c r="O57" s="17">
        <v>195.94</v>
      </c>
      <c r="P57" s="18">
        <f t="shared" si="22"/>
        <v>193.05723017317678</v>
      </c>
      <c r="Q57" s="17">
        <v>192.05365050670599</v>
      </c>
      <c r="R57" s="17">
        <f t="shared" si="25"/>
        <v>187.36941512849367</v>
      </c>
      <c r="S57" s="17"/>
      <c r="T57" s="17">
        <v>7.1526399999999999</v>
      </c>
      <c r="U57" s="17">
        <f t="shared" si="26"/>
        <v>365.56143428830251</v>
      </c>
      <c r="V57">
        <f t="shared" si="27"/>
        <v>0.17254335450200231</v>
      </c>
      <c r="W57" s="17">
        <f t="shared" si="28"/>
        <v>429.60758378996934</v>
      </c>
      <c r="X57">
        <f t="shared" si="29"/>
        <v>0.15916312365023091</v>
      </c>
    </row>
    <row r="58" spans="1:24" x14ac:dyDescent="0.2">
      <c r="A58" s="20">
        <f t="shared" si="30"/>
        <v>42817.916666666679</v>
      </c>
      <c r="B58" s="17">
        <v>28.724799999999998</v>
      </c>
      <c r="C58" s="17">
        <v>35.919400000000003</v>
      </c>
      <c r="D58">
        <v>2361.9899999999998</v>
      </c>
      <c r="E58" s="18">
        <f t="shared" si="23"/>
        <v>2327.8352645088721</v>
      </c>
      <c r="G58" s="17">
        <v>2045.2950000000001</v>
      </c>
      <c r="H58" s="18">
        <f t="shared" si="24"/>
        <v>2015.7197224897964</v>
      </c>
      <c r="I58" s="12">
        <v>1990.3271484375</v>
      </c>
      <c r="J58" s="31">
        <v>11.844834026201838</v>
      </c>
      <c r="K58" s="31">
        <v>10.291814136958099</v>
      </c>
      <c r="M58" s="15">
        <v>7.9950000000000001</v>
      </c>
      <c r="O58" s="17">
        <v>159.34</v>
      </c>
      <c r="P58" s="18">
        <f t="shared" si="22"/>
        <v>157.03591930822896</v>
      </c>
      <c r="Q58" s="17">
        <v>193.10584838530801</v>
      </c>
      <c r="R58" s="17">
        <f t="shared" si="25"/>
        <v>188.39594964420294</v>
      </c>
      <c r="S58" s="17"/>
      <c r="T58" s="17">
        <v>6.7055999999999996</v>
      </c>
      <c r="U58" s="17">
        <f t="shared" si="26"/>
        <v>371.69719948239992</v>
      </c>
      <c r="V58">
        <f t="shared" si="27"/>
        <v>0.15039255298590362</v>
      </c>
      <c r="W58" s="17">
        <f t="shared" si="28"/>
        <v>436.77321609262708</v>
      </c>
      <c r="X58">
        <f t="shared" si="29"/>
        <v>0.13873721649193985</v>
      </c>
    </row>
    <row r="59" spans="1:24" x14ac:dyDescent="0.2">
      <c r="A59" s="20">
        <f t="shared" si="30"/>
        <v>42818.000000000015</v>
      </c>
      <c r="B59" s="17">
        <v>28.614899999999999</v>
      </c>
      <c r="C59" s="17">
        <v>35.895000000000003</v>
      </c>
      <c r="D59">
        <v>2332.46</v>
      </c>
      <c r="E59" s="18">
        <f t="shared" si="23"/>
        <v>2300.2948600083573</v>
      </c>
      <c r="G59" s="17">
        <v>2049.2649999999999</v>
      </c>
      <c r="H59" s="18">
        <f t="shared" si="24"/>
        <v>2021.0051817801918</v>
      </c>
      <c r="I59" s="12">
        <v>1991.4259033203125</v>
      </c>
      <c r="J59" s="31">
        <v>13.487056244496218</v>
      </c>
      <c r="K59" s="31">
        <v>10.31964726780528</v>
      </c>
      <c r="M59" s="15">
        <v>7.9459999999999997</v>
      </c>
      <c r="O59" s="17">
        <v>155.36000000000001</v>
      </c>
      <c r="P59" s="18">
        <f t="shared" si="22"/>
        <v>153.21755119097367</v>
      </c>
      <c r="Q59" s="17">
        <v>193.471522773521</v>
      </c>
      <c r="R59" s="17">
        <f t="shared" si="25"/>
        <v>188.75270514489856</v>
      </c>
      <c r="S59" s="17"/>
      <c r="T59" s="17">
        <v>6.7055999999999996</v>
      </c>
      <c r="U59" s="17">
        <f t="shared" si="26"/>
        <v>373.68499769923847</v>
      </c>
      <c r="V59">
        <f t="shared" si="27"/>
        <v>0.14999201687420596</v>
      </c>
      <c r="W59" s="17">
        <f t="shared" si="28"/>
        <v>439.0956808871797</v>
      </c>
      <c r="X59">
        <f t="shared" si="29"/>
        <v>0.13836982561695332</v>
      </c>
    </row>
    <row r="60" spans="1:24" x14ac:dyDescent="0.2">
      <c r="A60" s="20">
        <f t="shared" si="30"/>
        <v>42818.08333333335</v>
      </c>
      <c r="B60" s="17">
        <v>28.509899999999998</v>
      </c>
      <c r="C60" s="17">
        <v>35.891399999999997</v>
      </c>
      <c r="D60">
        <v>2349.64</v>
      </c>
      <c r="E60" s="18">
        <f t="shared" si="23"/>
        <v>2317.4703689463213</v>
      </c>
      <c r="G60" s="17">
        <v>2064.71</v>
      </c>
      <c r="H60" s="18">
        <f t="shared" si="24"/>
        <v>2036.4414316521506</v>
      </c>
      <c r="I60" s="12">
        <v>1992.3592529296875</v>
      </c>
      <c r="J60" s="31">
        <v>13.550043301301324</v>
      </c>
      <c r="K60" s="31">
        <v>10.345337938606932</v>
      </c>
      <c r="M60" s="15">
        <v>7.9480000000000004</v>
      </c>
      <c r="O60" s="17">
        <v>150.41999999999999</v>
      </c>
      <c r="P60" s="18">
        <f t="shared" si="22"/>
        <v>148.36055433892241</v>
      </c>
      <c r="Q60" s="17">
        <v>193.79807115144899</v>
      </c>
      <c r="R60" s="17">
        <f t="shared" si="25"/>
        <v>189.07128892824295</v>
      </c>
      <c r="S60" s="17"/>
      <c r="T60" s="17">
        <v>6.2585600000000001</v>
      </c>
      <c r="U60" s="17">
        <f t="shared" si="26"/>
        <v>375.59383577320136</v>
      </c>
      <c r="V60">
        <f t="shared" si="27"/>
        <v>0.13032727101673688</v>
      </c>
      <c r="W60" s="17">
        <f t="shared" si="28"/>
        <v>441.32639505877376</v>
      </c>
      <c r="X60">
        <f t="shared" si="29"/>
        <v>0.12023047921379426</v>
      </c>
    </row>
    <row r="61" spans="1:24" x14ac:dyDescent="0.2">
      <c r="A61" s="20">
        <f>A60+(1/24*4)</f>
        <v>42818.250000000015</v>
      </c>
      <c r="B61" s="17">
        <v>28.384</v>
      </c>
      <c r="C61" s="17">
        <v>35.929499999999997</v>
      </c>
      <c r="D61">
        <v>2338.83</v>
      </c>
      <c r="E61" s="18">
        <f t="shared" si="23"/>
        <v>2304.3622093265976</v>
      </c>
      <c r="G61" s="17">
        <v>2072.4349999999999</v>
      </c>
      <c r="H61" s="18">
        <f t="shared" si="24"/>
        <v>2041.8931240345678</v>
      </c>
      <c r="I61" s="12">
        <v>1993.2293701171875</v>
      </c>
      <c r="J61" s="31">
        <v>14.677173838767649</v>
      </c>
      <c r="K61" s="31">
        <v>10.374073845011763</v>
      </c>
      <c r="M61" s="15">
        <v>7.9180000000000001</v>
      </c>
      <c r="O61" s="17">
        <v>149.16999999999999</v>
      </c>
      <c r="P61" s="18">
        <f t="shared" si="22"/>
        <v>146.97165282010604</v>
      </c>
      <c r="Q61" s="17">
        <v>194.13918623133301</v>
      </c>
      <c r="R61" s="17">
        <f t="shared" si="25"/>
        <v>189.4040841281298</v>
      </c>
      <c r="S61" s="17"/>
      <c r="T61" s="17">
        <v>7.1526399999999999</v>
      </c>
      <c r="U61" s="17">
        <f t="shared" si="26"/>
        <v>377.89510127124265</v>
      </c>
      <c r="V61">
        <f t="shared" si="27"/>
        <v>0.16970427877558283</v>
      </c>
      <c r="W61" s="17">
        <f t="shared" si="28"/>
        <v>444.0163876418531</v>
      </c>
      <c r="X61">
        <f t="shared" si="29"/>
        <v>0.15655931908938278</v>
      </c>
    </row>
    <row r="62" spans="1:24" x14ac:dyDescent="0.2">
      <c r="A62" s="20">
        <f t="shared" si="30"/>
        <v>42818.33333333335</v>
      </c>
      <c r="B62" s="17">
        <v>28.650400000000001</v>
      </c>
      <c r="C62" s="17">
        <v>35.924500000000002</v>
      </c>
      <c r="D62">
        <v>2347.17</v>
      </c>
      <c r="E62" s="18">
        <f t="shared" si="23"/>
        <v>2312.9011677267604</v>
      </c>
      <c r="G62" s="17">
        <v>2040.4349999999999</v>
      </c>
      <c r="H62" s="18">
        <f t="shared" si="24"/>
        <v>2010.6445183649041</v>
      </c>
      <c r="I62" s="12">
        <v>1990.944091796875</v>
      </c>
      <c r="J62" s="31">
        <v>12.230845883907417</v>
      </c>
      <c r="K62" s="31">
        <v>10.309519750247411</v>
      </c>
      <c r="M62" s="15">
        <v>7.9820000000000002</v>
      </c>
      <c r="O62" s="17">
        <v>163.96</v>
      </c>
      <c r="P62" s="18">
        <f t="shared" si="22"/>
        <v>161.56617350276275</v>
      </c>
      <c r="Q62" s="17">
        <v>193.326999542972</v>
      </c>
      <c r="R62" s="17">
        <f t="shared" si="25"/>
        <v>188.61170687119221</v>
      </c>
      <c r="S62" s="17"/>
      <c r="T62" s="17">
        <v>7.5996800000000002</v>
      </c>
      <c r="U62" s="17">
        <f t="shared" si="26"/>
        <v>373.04176639798789</v>
      </c>
      <c r="V62">
        <f t="shared" si="27"/>
        <v>0.19282243878095404</v>
      </c>
      <c r="W62" s="17">
        <f t="shared" si="28"/>
        <v>438.3440972484749</v>
      </c>
      <c r="X62">
        <f t="shared" si="29"/>
        <v>0.17788065482114768</v>
      </c>
    </row>
    <row r="63" spans="1:24" x14ac:dyDescent="0.2">
      <c r="A63" s="20">
        <f t="shared" si="30"/>
        <v>42818.416666666686</v>
      </c>
      <c r="B63" s="17">
        <v>29.567</v>
      </c>
      <c r="C63" s="17">
        <v>35.929900000000004</v>
      </c>
      <c r="D63">
        <v>2299.5500000000002</v>
      </c>
      <c r="E63" s="18">
        <f t="shared" si="23"/>
        <v>2265.6358631668886</v>
      </c>
      <c r="G63" s="17">
        <v>1982.085</v>
      </c>
      <c r="H63" s="18">
        <f t="shared" si="24"/>
        <v>1952.8528885412984</v>
      </c>
      <c r="I63" s="12">
        <v>1982.918212890625</v>
      </c>
      <c r="J63" s="31">
        <v>11.313035231539033</v>
      </c>
      <c r="K63" s="31">
        <v>10.091806130211678</v>
      </c>
      <c r="M63" s="15">
        <v>7.9930000000000003</v>
      </c>
      <c r="O63" s="17">
        <v>212.76</v>
      </c>
      <c r="P63" s="18">
        <f t="shared" si="22"/>
        <v>209.6221809690536</v>
      </c>
      <c r="Q63" s="17">
        <v>190.55559432602399</v>
      </c>
      <c r="R63" s="17">
        <f t="shared" si="25"/>
        <v>185.90789690343806</v>
      </c>
      <c r="S63" s="17"/>
      <c r="T63" s="17">
        <v>6.7055999999999996</v>
      </c>
      <c r="U63" s="17">
        <f t="shared" si="26"/>
        <v>356.80661649797003</v>
      </c>
      <c r="V63">
        <f t="shared" si="27"/>
        <v>0.15349863811394449</v>
      </c>
      <c r="W63" s="17">
        <f t="shared" si="28"/>
        <v>419.39035425932855</v>
      </c>
      <c r="X63">
        <f t="shared" si="29"/>
        <v>0.14158321093432047</v>
      </c>
    </row>
    <row r="64" spans="1:24" x14ac:dyDescent="0.2">
      <c r="A64" s="20">
        <f t="shared" si="30"/>
        <v>42818.500000000022</v>
      </c>
      <c r="B64" s="17">
        <v>30.4209</v>
      </c>
      <c r="C64" s="17">
        <v>35.928800000000003</v>
      </c>
      <c r="D64">
        <v>2304.85</v>
      </c>
      <c r="E64" s="18">
        <f t="shared" si="23"/>
        <v>2270.9272227293977</v>
      </c>
      <c r="G64" s="17">
        <v>1913.22</v>
      </c>
      <c r="H64" s="18">
        <f t="shared" si="24"/>
        <v>1885.0612322148247</v>
      </c>
      <c r="I64" s="12">
        <v>1975.435302734375</v>
      </c>
      <c r="J64" s="31">
        <v>8.2717359701487734</v>
      </c>
      <c r="K64" s="31">
        <v>9.8968105458640583</v>
      </c>
      <c r="M64" s="15">
        <v>8.0939999999999994</v>
      </c>
      <c r="O64" s="17">
        <v>254.13</v>
      </c>
      <c r="P64" s="18">
        <f t="shared" si="22"/>
        <v>250.38971521453539</v>
      </c>
      <c r="Q64" s="17">
        <v>188.04939343155201</v>
      </c>
      <c r="R64" s="17">
        <f t="shared" si="25"/>
        <v>183.46282286005075</v>
      </c>
      <c r="S64" s="17"/>
      <c r="T64" s="17">
        <v>7.1526399999999999</v>
      </c>
      <c r="U64" s="17">
        <f t="shared" si="26"/>
        <v>342.32955855186424</v>
      </c>
      <c r="V64">
        <f t="shared" si="27"/>
        <v>0.17830200359514647</v>
      </c>
      <c r="W64" s="17">
        <f t="shared" si="28"/>
        <v>402.50589674265461</v>
      </c>
      <c r="X64">
        <f t="shared" si="29"/>
        <v>0.16443425682855436</v>
      </c>
    </row>
    <row r="65" spans="1:24" x14ac:dyDescent="0.2">
      <c r="A65" s="20">
        <f t="shared" si="30"/>
        <v>42818.583333333358</v>
      </c>
      <c r="B65" s="17">
        <v>30.9208</v>
      </c>
      <c r="C65" s="17">
        <v>35.934100000000001</v>
      </c>
      <c r="D65">
        <v>2285.23</v>
      </c>
      <c r="E65" s="18">
        <f t="shared" si="23"/>
        <v>2251.2638969669479</v>
      </c>
      <c r="G65" s="17">
        <v>1883.95</v>
      </c>
      <c r="H65" s="18">
        <f t="shared" si="24"/>
        <v>1855.9482497126683</v>
      </c>
      <c r="I65" s="12">
        <v>1971.0003662109375</v>
      </c>
      <c r="J65" s="31">
        <v>7.8465095281396708</v>
      </c>
      <c r="K65" s="31">
        <v>9.7856053853737777</v>
      </c>
      <c r="M65" s="15">
        <v>8.1029999999999998</v>
      </c>
      <c r="O65" s="17">
        <v>264.52999999999997</v>
      </c>
      <c r="P65" s="18">
        <f t="shared" si="22"/>
        <v>260.59820616072193</v>
      </c>
      <c r="Q65" s="17">
        <v>186.604770199109</v>
      </c>
      <c r="R65" s="17">
        <f t="shared" si="25"/>
        <v>182.05343434059415</v>
      </c>
      <c r="S65" s="17"/>
      <c r="T65" s="17">
        <v>7.1526399999999999</v>
      </c>
      <c r="U65" s="17">
        <f t="shared" si="26"/>
        <v>334.14827514989861</v>
      </c>
      <c r="V65">
        <f t="shared" si="27"/>
        <v>0.18047157628837732</v>
      </c>
      <c r="W65" s="17">
        <f t="shared" si="28"/>
        <v>392.96408089355486</v>
      </c>
      <c r="X65">
        <f t="shared" si="29"/>
        <v>0.16641865043857407</v>
      </c>
    </row>
    <row r="66" spans="1:24" x14ac:dyDescent="0.2">
      <c r="C66" s="17"/>
    </row>
    <row r="67" spans="1:24" x14ac:dyDescent="0.2">
      <c r="T67" s="17"/>
    </row>
    <row r="156" spans="1:1" x14ac:dyDescent="0.2">
      <c r="A156" s="1"/>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5DF73-B6CE-484D-B5FA-FDF630C78A3E}">
  <dimension ref="A1:AO180"/>
  <sheetViews>
    <sheetView topLeftCell="A145" workbookViewId="0">
      <selection activeCell="B156" sqref="B156"/>
    </sheetView>
  </sheetViews>
  <sheetFormatPr baseColWidth="10" defaultRowHeight="16" x14ac:dyDescent="0.2"/>
  <cols>
    <col min="1" max="1" width="39.1640625" bestFit="1" customWidth="1"/>
    <col min="2" max="2" width="18.1640625" bestFit="1" customWidth="1"/>
    <col min="3" max="3" width="12.33203125" customWidth="1"/>
    <col min="4" max="4" width="17.33203125" bestFit="1" customWidth="1"/>
    <col min="5" max="5" width="12.33203125" bestFit="1" customWidth="1"/>
    <col min="6" max="6" width="14.6640625" bestFit="1" customWidth="1"/>
    <col min="7" max="7" width="21.5" bestFit="1" customWidth="1"/>
    <col min="8" max="8" width="21.6640625" bestFit="1" customWidth="1"/>
    <col min="9" max="9" width="17.1640625" bestFit="1" customWidth="1"/>
    <col min="10" max="10" width="22.33203125" bestFit="1" customWidth="1"/>
    <col min="11" max="11" width="23.5" bestFit="1" customWidth="1"/>
    <col min="12" max="12" width="15.33203125" bestFit="1" customWidth="1"/>
    <col min="13" max="13" width="23.83203125" bestFit="1" customWidth="1"/>
    <col min="14" max="14" width="12.83203125" bestFit="1" customWidth="1"/>
    <col min="15" max="15" width="14.6640625" bestFit="1" customWidth="1"/>
    <col min="16" max="16" width="20.83203125" bestFit="1" customWidth="1"/>
    <col min="17" max="17" width="14.33203125" bestFit="1" customWidth="1"/>
    <col min="18" max="18" width="15.1640625" bestFit="1" customWidth="1"/>
    <col min="19" max="19" width="17.5" bestFit="1" customWidth="1"/>
    <col min="20" max="20" width="16.33203125" bestFit="1" customWidth="1"/>
    <col min="21" max="21" width="23.33203125" bestFit="1" customWidth="1"/>
    <col min="22" max="22" width="19.33203125" bestFit="1" customWidth="1"/>
    <col min="23" max="23" width="23.33203125" bestFit="1" customWidth="1"/>
    <col min="24" max="24" width="20.33203125" bestFit="1" customWidth="1"/>
    <col min="25" max="25" width="23.5" bestFit="1" customWidth="1"/>
    <col min="26" max="26" width="17.33203125" bestFit="1" customWidth="1"/>
    <col min="27" max="27" width="23.83203125" bestFit="1" customWidth="1"/>
    <col min="28" max="29" width="23.33203125" bestFit="1" customWidth="1"/>
    <col min="30" max="30" width="18.33203125" bestFit="1" customWidth="1"/>
    <col min="31" max="31" width="19" bestFit="1" customWidth="1"/>
    <col min="32" max="32" width="23.33203125" bestFit="1" customWidth="1"/>
    <col min="33" max="33" width="18.33203125" bestFit="1" customWidth="1"/>
    <col min="34" max="34" width="22.83203125" bestFit="1" customWidth="1"/>
    <col min="35" max="35" width="23.5" bestFit="1" customWidth="1"/>
    <col min="36" max="36" width="23.1640625" bestFit="1" customWidth="1"/>
    <col min="37" max="37" width="23.83203125" bestFit="1" customWidth="1"/>
    <col min="38" max="38" width="23.33203125" bestFit="1" customWidth="1"/>
    <col min="39" max="39" width="15" bestFit="1" customWidth="1"/>
    <col min="40" max="40" width="14.6640625" bestFit="1" customWidth="1"/>
  </cols>
  <sheetData>
    <row r="1" spans="1:24" x14ac:dyDescent="0.2">
      <c r="A1" s="10" t="s">
        <v>70</v>
      </c>
    </row>
    <row r="2" spans="1:24" x14ac:dyDescent="0.2">
      <c r="A2" s="2" t="s">
        <v>71</v>
      </c>
      <c r="B2" s="2" t="s">
        <v>72</v>
      </c>
      <c r="C2" s="2" t="s">
        <v>21</v>
      </c>
      <c r="D2" s="2" t="s">
        <v>81</v>
      </c>
      <c r="E2" s="2" t="s">
        <v>73</v>
      </c>
      <c r="F2" s="2"/>
      <c r="G2" s="2" t="s">
        <v>82</v>
      </c>
      <c r="H2" s="2" t="s">
        <v>74</v>
      </c>
      <c r="I2" s="2" t="s">
        <v>75</v>
      </c>
      <c r="J2" s="2" t="s">
        <v>76</v>
      </c>
      <c r="K2" s="2" t="s">
        <v>77</v>
      </c>
      <c r="L2" s="2"/>
      <c r="M2" s="2" t="s">
        <v>78</v>
      </c>
      <c r="N2" s="2"/>
      <c r="O2" s="2" t="s">
        <v>83</v>
      </c>
      <c r="P2" s="2" t="s">
        <v>300</v>
      </c>
      <c r="Q2" s="2" t="s">
        <v>79</v>
      </c>
      <c r="R2" s="2" t="s">
        <v>80</v>
      </c>
      <c r="T2" t="s">
        <v>68</v>
      </c>
      <c r="U2" s="2" t="s">
        <v>310</v>
      </c>
      <c r="V2" s="2" t="s">
        <v>312</v>
      </c>
      <c r="W2" s="2" t="s">
        <v>311</v>
      </c>
      <c r="X2" s="2" t="s">
        <v>313</v>
      </c>
    </row>
    <row r="3" spans="1:24" x14ac:dyDescent="0.2">
      <c r="A3" s="19">
        <v>0.45833333333333331</v>
      </c>
      <c r="B3" s="18">
        <v>28.382400000000001</v>
      </c>
      <c r="C3" s="18">
        <v>35.452350000000003</v>
      </c>
      <c r="D3" s="2">
        <v>2313.69</v>
      </c>
      <c r="E3" s="18">
        <f>(D3/C3)*35.4</f>
        <v>2310.2735361689702</v>
      </c>
      <c r="F3" s="2"/>
      <c r="G3" s="18">
        <v>1922.9808989999999</v>
      </c>
      <c r="H3" s="18">
        <f>(G3/C3)*35.4</f>
        <v>1920.1413679093203</v>
      </c>
      <c r="I3" s="12">
        <v>1996.0291748046875</v>
      </c>
      <c r="J3" s="30">
        <v>8.018815</v>
      </c>
      <c r="K3" s="31">
        <v>10.399481711026231</v>
      </c>
      <c r="L3" s="14"/>
      <c r="M3" s="15">
        <v>8.1292505264282227</v>
      </c>
      <c r="N3" s="16"/>
      <c r="O3" s="18">
        <v>232.78</v>
      </c>
      <c r="P3" s="18">
        <f t="shared" ref="P3:P15" si="0">(O3/C3)*35.4</f>
        <v>232.43627009210954</v>
      </c>
      <c r="Q3" s="18">
        <v>194.72807069999999</v>
      </c>
      <c r="R3" s="18">
        <v>189.97860560000001</v>
      </c>
      <c r="S3" s="17"/>
      <c r="T3" s="17">
        <v>4.1666700000000008</v>
      </c>
      <c r="U3" s="17">
        <f>'All Experimental Diel Data'!U3</f>
        <v>377.92443458635239</v>
      </c>
      <c r="V3">
        <f>(0.251*(T3)^2*(U3/660)^(-0.5))/100</f>
        <v>5.7586596925940634E-2</v>
      </c>
      <c r="W3" s="17">
        <f>'All Experimental Diel Data'!W3</f>
        <v>444.0506807934529</v>
      </c>
      <c r="X3">
        <f>(0.251*(T3)^2*(W3/660)^(-0.5))/100</f>
        <v>5.3126062710610801E-2</v>
      </c>
    </row>
    <row r="4" spans="1:24" x14ac:dyDescent="0.2">
      <c r="A4" s="19">
        <v>0.54166666666666663</v>
      </c>
      <c r="B4" s="18">
        <v>28.969850000000001</v>
      </c>
      <c r="C4" s="18">
        <v>35.465800000000002</v>
      </c>
      <c r="D4" s="2">
        <v>2307.86</v>
      </c>
      <c r="E4" s="18">
        <f t="shared" ref="E4:E15" si="1">(D4/C4)*35.4</f>
        <v>2303.5782077381591</v>
      </c>
      <c r="F4" s="2"/>
      <c r="G4" s="18">
        <v>1893.1279010000001</v>
      </c>
      <c r="H4" s="18">
        <f t="shared" ref="H4:H15" si="2">(G4/C4)*35.4</f>
        <v>1889.6155647243258</v>
      </c>
      <c r="I4" s="12">
        <v>1990.860107421875</v>
      </c>
      <c r="J4" s="30">
        <v>7.2601880000000003</v>
      </c>
      <c r="K4" s="31">
        <v>10.256355583100445</v>
      </c>
      <c r="L4" s="14"/>
      <c r="M4" s="15">
        <v>8.1558876037597656</v>
      </c>
      <c r="N4" s="16"/>
      <c r="O4" s="18">
        <v>249.01</v>
      </c>
      <c r="P4" s="18">
        <f t="shared" si="0"/>
        <v>248.5480096318143</v>
      </c>
      <c r="Q4" s="18">
        <v>192.9085896</v>
      </c>
      <c r="R4" s="18">
        <v>188.20350199999999</v>
      </c>
      <c r="S4" s="17"/>
      <c r="T4" s="17">
        <v>3.7500030000000004</v>
      </c>
      <c r="U4" s="17">
        <f>'All Experimental Diel Data'!U4</f>
        <v>367.30209581352392</v>
      </c>
      <c r="V4">
        <f t="shared" ref="V4:V15" si="3">(0.251*(T4)^2*(U4/660)^(-0.5))/100</f>
        <v>4.7314822628388764E-2</v>
      </c>
      <c r="W4" s="17">
        <f>'All Experimental Diel Data'!W4</f>
        <v>431.63994898186286</v>
      </c>
      <c r="X4">
        <f t="shared" ref="X4:X15" si="4">(0.251*(T4)^2*(W4/660)^(-0.5))/100</f>
        <v>4.3646367322413518E-2</v>
      </c>
    </row>
    <row r="5" spans="1:24" x14ac:dyDescent="0.2">
      <c r="A5" s="19">
        <v>0.625</v>
      </c>
      <c r="B5" s="18">
        <v>29.298500000000001</v>
      </c>
      <c r="C5" s="18">
        <v>35.474350000000001</v>
      </c>
      <c r="D5" s="2">
        <v>2288.9</v>
      </c>
      <c r="E5" s="18">
        <f t="shared" si="1"/>
        <v>2284.102739021293</v>
      </c>
      <c r="F5" s="2"/>
      <c r="G5" s="18">
        <v>1868.2767220000001</v>
      </c>
      <c r="H5" s="18">
        <f t="shared" si="2"/>
        <v>1864.3610371662905</v>
      </c>
      <c r="I5" s="12">
        <v>1987.9530029296875</v>
      </c>
      <c r="J5" s="30">
        <v>6.9830059999999996</v>
      </c>
      <c r="K5" s="31">
        <v>10.177792962758058</v>
      </c>
      <c r="L5" s="14"/>
      <c r="M5" s="15">
        <v>8.1627035140991211</v>
      </c>
      <c r="N5" s="16"/>
      <c r="O5" s="18">
        <v>257.62</v>
      </c>
      <c r="P5" s="18">
        <f t="shared" si="0"/>
        <v>257.08005925408077</v>
      </c>
      <c r="Q5" s="18">
        <v>191.90371440000001</v>
      </c>
      <c r="R5" s="18">
        <v>187.22313600000001</v>
      </c>
      <c r="S5" s="17"/>
      <c r="T5" s="17">
        <v>3.6111140000000002</v>
      </c>
      <c r="U5" s="17">
        <f>'All Experimental Diel Data'!U5</f>
        <v>361.48808788750944</v>
      </c>
      <c r="V5">
        <f t="shared" si="3"/>
        <v>4.4226349326630728E-2</v>
      </c>
      <c r="W5" s="17">
        <f>'All Experimental Diel Data'!W5</f>
        <v>424.85290978437854</v>
      </c>
      <c r="X5">
        <f t="shared" si="4"/>
        <v>4.0795173892078596E-2</v>
      </c>
    </row>
    <row r="6" spans="1:24" x14ac:dyDescent="0.2">
      <c r="A6" s="19">
        <v>0.70833333333333304</v>
      </c>
      <c r="B6" s="18">
        <v>29.10435</v>
      </c>
      <c r="C6" s="18">
        <v>35.479550000000003</v>
      </c>
      <c r="D6" s="2">
        <v>2289.67</v>
      </c>
      <c r="E6" s="18">
        <f t="shared" si="1"/>
        <v>2284.5362469366155</v>
      </c>
      <c r="F6" s="2"/>
      <c r="G6" s="18">
        <v>1854.237922</v>
      </c>
      <c r="H6" s="18">
        <f t="shared" si="2"/>
        <v>1850.0804671648878</v>
      </c>
      <c r="I6" s="12">
        <v>1989.6109619140625</v>
      </c>
      <c r="J6" s="30">
        <v>6.5416400000000001</v>
      </c>
      <c r="K6" s="31">
        <v>10.223544817396885</v>
      </c>
      <c r="L6" s="14"/>
      <c r="M6" s="15">
        <v>8.1860761642456055</v>
      </c>
      <c r="N6" s="16"/>
      <c r="O6" s="18">
        <v>263.77999999999997</v>
      </c>
      <c r="P6" s="18">
        <f t="shared" si="0"/>
        <v>263.18856918985716</v>
      </c>
      <c r="Q6" s="18">
        <v>192.48375720000001</v>
      </c>
      <c r="R6" s="18">
        <v>187.7890314</v>
      </c>
      <c r="S6" s="17"/>
      <c r="T6" s="17">
        <v>3.7500030000000004</v>
      </c>
      <c r="U6" s="17">
        <f>'All Experimental Diel Data'!U6</f>
        <v>364.91156853380528</v>
      </c>
      <c r="V6">
        <f t="shared" si="3"/>
        <v>4.7469548796721564E-2</v>
      </c>
      <c r="W6" s="17">
        <f>'All Experimental Diel Data'!W6</f>
        <v>428.84890008559523</v>
      </c>
      <c r="X6">
        <f t="shared" si="4"/>
        <v>4.3788167360637481E-2</v>
      </c>
    </row>
    <row r="7" spans="1:24" x14ac:dyDescent="0.2">
      <c r="A7" s="19">
        <v>0.79166666666666596</v>
      </c>
      <c r="B7" s="18">
        <v>28.41835</v>
      </c>
      <c r="C7" s="18">
        <v>35.498950000000001</v>
      </c>
      <c r="D7" s="2">
        <v>2291.6</v>
      </c>
      <c r="E7" s="18">
        <f t="shared" si="1"/>
        <v>2285.2123795210841</v>
      </c>
      <c r="F7" s="2"/>
      <c r="G7" s="18">
        <v>1878.6712399999999</v>
      </c>
      <c r="H7" s="18">
        <f t="shared" si="2"/>
        <v>1873.4346197845284</v>
      </c>
      <c r="I7" s="12">
        <v>1995.4464111328125</v>
      </c>
      <c r="J7" s="30">
        <v>7.137785</v>
      </c>
      <c r="K7" s="31">
        <v>10.388218800498617</v>
      </c>
      <c r="L7" s="14"/>
      <c r="M7" s="15">
        <v>8.1640939712524414</v>
      </c>
      <c r="N7" s="16"/>
      <c r="O7" s="18">
        <v>226.46</v>
      </c>
      <c r="P7" s="18">
        <f t="shared" si="0"/>
        <v>225.82876394935624</v>
      </c>
      <c r="Q7" s="18">
        <v>194.5597181</v>
      </c>
      <c r="R7" s="18">
        <v>189.81435920000001</v>
      </c>
      <c r="S7" s="17"/>
      <c r="T7" s="17">
        <v>3.8888920000000002</v>
      </c>
      <c r="U7" s="17">
        <f>'All Experimental Diel Data'!U7</f>
        <v>377.26588276583334</v>
      </c>
      <c r="V7">
        <f t="shared" si="3"/>
        <v>5.0208088532416102E-2</v>
      </c>
      <c r="W7" s="17">
        <f>'All Experimental Diel Data'!W7</f>
        <v>443.28080730103966</v>
      </c>
      <c r="X7">
        <f t="shared" si="4"/>
        <v>4.6318873641768184E-2</v>
      </c>
    </row>
    <row r="8" spans="1:24" x14ac:dyDescent="0.2">
      <c r="A8" s="19">
        <v>0.875</v>
      </c>
      <c r="B8" s="18">
        <v>27.833950000000002</v>
      </c>
      <c r="C8" s="18">
        <v>35.519500000000001</v>
      </c>
      <c r="D8" s="2">
        <v>2310.27</v>
      </c>
      <c r="E8" s="18">
        <f t="shared" si="1"/>
        <v>2302.4974450653867</v>
      </c>
      <c r="F8" s="2"/>
      <c r="G8" s="18">
        <v>1905.2625029999999</v>
      </c>
      <c r="H8" s="18">
        <f t="shared" si="2"/>
        <v>1898.852534697842</v>
      </c>
      <c r="I8" s="12">
        <v>2000.374267578125</v>
      </c>
      <c r="J8" s="30">
        <v>7.4586110000000003</v>
      </c>
      <c r="K8" s="31">
        <v>10.532157056449389</v>
      </c>
      <c r="L8" s="14"/>
      <c r="M8" s="15">
        <v>8.1578235626220703</v>
      </c>
      <c r="N8" s="16"/>
      <c r="O8" s="18">
        <v>200.29</v>
      </c>
      <c r="P8" s="18">
        <f t="shared" si="0"/>
        <v>199.61615450667941</v>
      </c>
      <c r="Q8" s="18">
        <v>196.35808320000001</v>
      </c>
      <c r="R8" s="18">
        <v>191.56886159999999</v>
      </c>
      <c r="S8" s="17"/>
      <c r="T8" s="17">
        <v>3.8888920000000002</v>
      </c>
      <c r="U8" s="17">
        <f>'All Experimental Diel Data'!U8</f>
        <v>388.10969219909055</v>
      </c>
      <c r="V8">
        <f t="shared" si="3"/>
        <v>4.9501710928978815E-2</v>
      </c>
      <c r="W8" s="17">
        <f>'All Experimental Diel Data'!W8</f>
        <v>455.96592685329449</v>
      </c>
      <c r="X8">
        <f t="shared" si="4"/>
        <v>4.5670026000301858E-2</v>
      </c>
    </row>
    <row r="9" spans="1:24" x14ac:dyDescent="0.2">
      <c r="A9" s="19">
        <v>0.95833333333333304</v>
      </c>
      <c r="B9" s="18">
        <v>27.272400000000001</v>
      </c>
      <c r="C9" s="18">
        <v>35.517099999999999</v>
      </c>
      <c r="D9" s="2">
        <v>2316.44</v>
      </c>
      <c r="E9" s="18">
        <f t="shared" si="1"/>
        <v>2308.8026894087634</v>
      </c>
      <c r="F9" s="2"/>
      <c r="G9" s="18">
        <v>1967.62</v>
      </c>
      <c r="H9" s="18">
        <f t="shared" si="2"/>
        <v>1961.1327501400733</v>
      </c>
      <c r="I9" s="12">
        <v>2005.219970703125</v>
      </c>
      <c r="J9" s="30">
        <v>9.5200840000000007</v>
      </c>
      <c r="K9" s="31">
        <v>10.675121231886646</v>
      </c>
      <c r="L9" s="14"/>
      <c r="M9" s="15">
        <v>8.0815029144287109</v>
      </c>
      <c r="N9" s="16"/>
      <c r="O9" s="18">
        <v>168.86</v>
      </c>
      <c r="P9" s="18">
        <f t="shared" si="0"/>
        <v>168.30326800329985</v>
      </c>
      <c r="Q9" s="18">
        <v>198.14492430000001</v>
      </c>
      <c r="R9" s="18">
        <v>193.31212120000001</v>
      </c>
      <c r="S9" s="17"/>
      <c r="T9" s="17">
        <v>3.8888920000000002</v>
      </c>
      <c r="U9" s="17">
        <f>'All Experimental Diel Data'!U9</f>
        <v>398.81066192123455</v>
      </c>
      <c r="V9">
        <f t="shared" si="3"/>
        <v>4.8833075142486922E-2</v>
      </c>
      <c r="W9" s="17">
        <f>'All Experimental Diel Data'!W9</f>
        <v>468.50216832222173</v>
      </c>
      <c r="X9">
        <f t="shared" si="4"/>
        <v>4.5054860704913706E-2</v>
      </c>
    </row>
    <row r="10" spans="1:24" x14ac:dyDescent="0.2">
      <c r="A10" s="19">
        <v>1.0416666666666701</v>
      </c>
      <c r="B10" s="18">
        <v>27.14</v>
      </c>
      <c r="C10" s="18">
        <v>35.507599999999996</v>
      </c>
      <c r="D10" s="2">
        <v>2323.62</v>
      </c>
      <c r="E10" s="18">
        <f t="shared" si="1"/>
        <v>2316.5786479514245</v>
      </c>
      <c r="F10" s="2"/>
      <c r="G10" s="18">
        <v>1998.735019</v>
      </c>
      <c r="H10" s="18">
        <f t="shared" si="2"/>
        <v>1992.6781779844314</v>
      </c>
      <c r="I10" s="12">
        <v>2006.4111328125</v>
      </c>
      <c r="J10" s="30">
        <v>10.663318</v>
      </c>
      <c r="K10" s="31">
        <v>10.709827014465613</v>
      </c>
      <c r="L10" s="14"/>
      <c r="M10" s="15">
        <v>8.0446434020996094</v>
      </c>
      <c r="N10" s="16"/>
      <c r="O10" s="18">
        <v>164.03</v>
      </c>
      <c r="P10" s="18">
        <f t="shared" si="0"/>
        <v>163.53293379445529</v>
      </c>
      <c r="Q10" s="18">
        <v>198.58209170000001</v>
      </c>
      <c r="R10" s="18">
        <v>193.7386261</v>
      </c>
      <c r="S10" s="17"/>
      <c r="T10" s="17">
        <v>3.3333360000000001</v>
      </c>
      <c r="U10" s="17">
        <f>'All Experimental Diel Data'!U10</f>
        <v>401.37449603141778</v>
      </c>
      <c r="V10">
        <f t="shared" si="3"/>
        <v>3.5762592000120288E-2</v>
      </c>
      <c r="W10" s="17">
        <f>'All Experimental Diel Data'!W10</f>
        <v>471.50849437776088</v>
      </c>
      <c r="X10">
        <f t="shared" si="4"/>
        <v>3.2995834311904317E-2</v>
      </c>
    </row>
    <row r="11" spans="1:24" x14ac:dyDescent="0.2">
      <c r="A11" s="19">
        <v>1.125</v>
      </c>
      <c r="B11" s="18">
        <v>26.908950000000001</v>
      </c>
      <c r="C11" s="18">
        <v>35.538849999999996</v>
      </c>
      <c r="D11" s="2">
        <v>2316.92</v>
      </c>
      <c r="E11" s="18">
        <f t="shared" si="1"/>
        <v>2307.8678122674205</v>
      </c>
      <c r="F11" s="2"/>
      <c r="G11" s="18">
        <v>1980.598649</v>
      </c>
      <c r="H11" s="18">
        <f t="shared" si="2"/>
        <v>1972.8604660702304</v>
      </c>
      <c r="I11" s="12">
        <v>2008.2127685546875</v>
      </c>
      <c r="J11" s="30">
        <v>10.027920999999999</v>
      </c>
      <c r="K11" s="31">
        <v>10.768239129773466</v>
      </c>
      <c r="L11" s="14"/>
      <c r="M11" s="15">
        <v>8.0669717788696289</v>
      </c>
      <c r="N11" s="16"/>
      <c r="O11" s="18">
        <v>162.76</v>
      </c>
      <c r="P11" s="18">
        <f t="shared" si="0"/>
        <v>162.12409799416696</v>
      </c>
      <c r="Q11" s="18">
        <v>199.28885</v>
      </c>
      <c r="R11" s="18">
        <v>194.42814630000001</v>
      </c>
      <c r="S11" s="17"/>
      <c r="T11" s="17">
        <v>3.0555580000000004</v>
      </c>
      <c r="U11" s="17">
        <f>'All Experimental Diel Data'!U11</f>
        <v>405.88645788329092</v>
      </c>
      <c r="V11">
        <f t="shared" si="3"/>
        <v>2.988301907859876E-2</v>
      </c>
      <c r="W11" s="17">
        <f>'All Experimental Diel Data'!W11</f>
        <v>476.80180039519985</v>
      </c>
      <c r="X11">
        <f t="shared" si="4"/>
        <v>2.757133592072113E-2</v>
      </c>
    </row>
    <row r="12" spans="1:24" x14ac:dyDescent="0.2">
      <c r="A12" s="19">
        <v>1.2083333333333299</v>
      </c>
      <c r="B12" s="18">
        <v>26.658049999999999</v>
      </c>
      <c r="C12" s="18">
        <v>35.555599999999998</v>
      </c>
      <c r="D12" s="2">
        <v>2316.54</v>
      </c>
      <c r="E12" s="18">
        <f t="shared" si="1"/>
        <v>2306.4022544971817</v>
      </c>
      <c r="F12" s="2"/>
      <c r="G12" s="18">
        <v>1982.1698220000001</v>
      </c>
      <c r="H12" s="18">
        <f t="shared" si="2"/>
        <v>1973.4953621595473</v>
      </c>
      <c r="I12" s="12">
        <v>2010.264892578125</v>
      </c>
      <c r="J12" s="30">
        <v>10.079127</v>
      </c>
      <c r="K12" s="31">
        <v>10.833281991773054</v>
      </c>
      <c r="L12" s="14"/>
      <c r="M12" s="15">
        <v>8.0674448013305664</v>
      </c>
      <c r="N12" s="16"/>
      <c r="O12" s="18">
        <v>161.29</v>
      </c>
      <c r="P12" s="18">
        <f t="shared" si="0"/>
        <v>160.58415551980559</v>
      </c>
      <c r="Q12" s="18">
        <v>200.0839584</v>
      </c>
      <c r="R12" s="18">
        <v>195.20386189999999</v>
      </c>
      <c r="S12" s="17"/>
      <c r="T12" s="17">
        <v>3.0555580000000004</v>
      </c>
      <c r="U12" s="17">
        <f>'All Experimental Diel Data'!U12</f>
        <v>410.84114335201332</v>
      </c>
      <c r="V12">
        <f t="shared" si="3"/>
        <v>2.9702280034431369E-2</v>
      </c>
      <c r="W12" s="17">
        <f>'All Experimental Diel Data'!W12</f>
        <v>482.61833321614859</v>
      </c>
      <c r="X12">
        <f t="shared" si="4"/>
        <v>2.7404686937435533E-2</v>
      </c>
    </row>
    <row r="13" spans="1:24" x14ac:dyDescent="0.2">
      <c r="A13" s="19">
        <v>1.2916666666666701</v>
      </c>
      <c r="B13" s="18">
        <v>26.271799999999999</v>
      </c>
      <c r="C13" s="18">
        <v>35.593600000000002</v>
      </c>
      <c r="D13" s="2">
        <v>2324.5500000000002</v>
      </c>
      <c r="E13" s="18">
        <f t="shared" si="1"/>
        <v>2311.9063539512717</v>
      </c>
      <c r="F13" s="2"/>
      <c r="G13" s="18">
        <v>2001.5290339999999</v>
      </c>
      <c r="H13" s="18">
        <f t="shared" si="2"/>
        <v>1990.6423571540947</v>
      </c>
      <c r="I13" s="12">
        <v>2013.3485107421875</v>
      </c>
      <c r="J13" s="30">
        <v>10.643373</v>
      </c>
      <c r="K13" s="31">
        <v>10.934114483832991</v>
      </c>
      <c r="L13" s="14"/>
      <c r="M13" s="15">
        <v>8.0532312393188477</v>
      </c>
      <c r="N13" s="16"/>
      <c r="O13" s="18">
        <v>156.99</v>
      </c>
      <c r="P13" s="18">
        <f t="shared" si="0"/>
        <v>156.13610311966195</v>
      </c>
      <c r="Q13" s="18">
        <v>201.30463689999999</v>
      </c>
      <c r="R13" s="18">
        <v>196.39476769999999</v>
      </c>
      <c r="S13" s="17"/>
      <c r="T13" s="17">
        <v>3.3333360000000001</v>
      </c>
      <c r="U13" s="17">
        <f>'All Experimental Diel Data'!U13</f>
        <v>418.58273446021605</v>
      </c>
      <c r="V13">
        <f t="shared" si="3"/>
        <v>3.5019764345050837E-2</v>
      </c>
      <c r="W13" s="17">
        <f>'All Experimental Diel Data'!W13</f>
        <v>491.71444004509715</v>
      </c>
      <c r="X13">
        <f t="shared" si="4"/>
        <v>3.2310776375955898E-2</v>
      </c>
    </row>
    <row r="14" spans="1:24" x14ac:dyDescent="0.2">
      <c r="A14" s="19">
        <v>1.375</v>
      </c>
      <c r="B14" s="18">
        <v>26.379200000000001</v>
      </c>
      <c r="C14" s="18">
        <v>35.57</v>
      </c>
      <c r="D14" s="2">
        <v>2329.09</v>
      </c>
      <c r="E14" s="18">
        <f t="shared" si="1"/>
        <v>2317.9585605847624</v>
      </c>
      <c r="F14" s="2"/>
      <c r="G14" s="18">
        <v>1994.981503</v>
      </c>
      <c r="H14" s="18">
        <f t="shared" si="2"/>
        <v>1985.4468711329771</v>
      </c>
      <c r="I14" s="12">
        <v>2012.56591796875</v>
      </c>
      <c r="J14" s="30">
        <v>10.168132999999999</v>
      </c>
      <c r="K14" s="31">
        <v>10.906638995147574</v>
      </c>
      <c r="L14" s="14"/>
      <c r="M14" s="15">
        <v>8.0689449310302734</v>
      </c>
      <c r="N14" s="16"/>
      <c r="O14" s="18">
        <v>186.37</v>
      </c>
      <c r="P14" s="18">
        <f t="shared" si="0"/>
        <v>185.47928029238122</v>
      </c>
      <c r="Q14" s="18">
        <v>200.9804355</v>
      </c>
      <c r="R14" s="18">
        <v>196.07847369999999</v>
      </c>
      <c r="S14" s="17"/>
      <c r="T14" s="17">
        <v>3.8888920000000002</v>
      </c>
      <c r="U14" s="17">
        <f>'All Experimental Diel Data'!U14</f>
        <v>416.41608543655116</v>
      </c>
      <c r="V14">
        <f t="shared" si="3"/>
        <v>4.7789634096638299E-2</v>
      </c>
      <c r="W14" s="17">
        <f>'All Experimental Diel Data'!W14</f>
        <v>489.16774522531716</v>
      </c>
      <c r="X14">
        <f t="shared" si="4"/>
        <v>4.4092888237780244E-2</v>
      </c>
    </row>
    <row r="15" spans="1:24" x14ac:dyDescent="0.2">
      <c r="A15" s="19">
        <v>1.4583333333333299</v>
      </c>
      <c r="B15" s="18">
        <v>27.32395</v>
      </c>
      <c r="C15" s="18">
        <v>35.559800000000003</v>
      </c>
      <c r="D15" s="2">
        <v>2316.42</v>
      </c>
      <c r="E15" s="18">
        <f t="shared" si="1"/>
        <v>2306.0103825105875</v>
      </c>
      <c r="F15" s="2"/>
      <c r="G15" s="18">
        <v>1953.6173960000001</v>
      </c>
      <c r="H15" s="18">
        <f t="shared" si="2"/>
        <v>1944.8381548377661</v>
      </c>
      <c r="I15" s="12">
        <v>2004.53125</v>
      </c>
      <c r="J15" s="30">
        <v>8.958278</v>
      </c>
      <c r="K15" s="31">
        <v>10.659543809654528</v>
      </c>
      <c r="L15" s="14"/>
      <c r="M15" s="15">
        <v>8.1016321182250977</v>
      </c>
      <c r="N15" s="16"/>
      <c r="O15" s="18">
        <v>216.77</v>
      </c>
      <c r="P15" s="18">
        <f t="shared" si="0"/>
        <v>215.79587061794498</v>
      </c>
      <c r="Q15" s="18">
        <v>197.92628099999999</v>
      </c>
      <c r="R15" s="18">
        <v>193.0988108</v>
      </c>
      <c r="S15" s="17"/>
      <c r="T15" s="17">
        <v>4.0277810000000001</v>
      </c>
      <c r="U15" s="17">
        <f>'All Experimental Diel Data'!U15</f>
        <v>397.81667522503676</v>
      </c>
      <c r="V15">
        <f t="shared" si="3"/>
        <v>5.2448840954966255E-2</v>
      </c>
      <c r="W15" s="17">
        <f>'All Experimental Diel Data'!W15</f>
        <v>467.33692038207317</v>
      </c>
      <c r="X15">
        <f t="shared" si="4"/>
        <v>4.8390748625441432E-2</v>
      </c>
    </row>
    <row r="17" spans="1:41" x14ac:dyDescent="0.2">
      <c r="A17" s="33" t="s">
        <v>155</v>
      </c>
      <c r="B17" s="34">
        <v>400</v>
      </c>
    </row>
    <row r="18" spans="1:41" x14ac:dyDescent="0.2">
      <c r="A18" s="33" t="s">
        <v>156</v>
      </c>
      <c r="B18" s="34">
        <v>8.75</v>
      </c>
    </row>
    <row r="19" spans="1:41" x14ac:dyDescent="0.2">
      <c r="A19" s="33" t="s">
        <v>157</v>
      </c>
      <c r="B19" s="34">
        <v>1</v>
      </c>
    </row>
    <row r="20" spans="1:41" x14ac:dyDescent="0.2">
      <c r="A20" s="33" t="s">
        <v>158</v>
      </c>
      <c r="B20" s="34">
        <v>1.0249999999999999</v>
      </c>
      <c r="F20" s="17"/>
    </row>
    <row r="21" spans="1:41" x14ac:dyDescent="0.2">
      <c r="A21" s="33" t="s">
        <v>159</v>
      </c>
      <c r="B21" s="34">
        <v>1978</v>
      </c>
      <c r="F21" s="17"/>
    </row>
    <row r="22" spans="1:41" x14ac:dyDescent="0.2">
      <c r="A22" s="33" t="s">
        <v>160</v>
      </c>
      <c r="B22" s="34">
        <v>2332</v>
      </c>
    </row>
    <row r="23" spans="1:41" x14ac:dyDescent="0.2">
      <c r="A23" s="33" t="s">
        <v>161</v>
      </c>
      <c r="B23" s="34">
        <v>197</v>
      </c>
    </row>
    <row r="25" spans="1:41" x14ac:dyDescent="0.2">
      <c r="A25" s="1" t="s">
        <v>314</v>
      </c>
    </row>
    <row r="26" spans="1:41" x14ac:dyDescent="0.2">
      <c r="A26" t="s">
        <v>163</v>
      </c>
      <c r="B26" t="s">
        <v>71</v>
      </c>
      <c r="C26" t="s">
        <v>164</v>
      </c>
      <c r="D26" t="s">
        <v>165</v>
      </c>
      <c r="E26" t="s">
        <v>166</v>
      </c>
      <c r="F26" t="s">
        <v>315</v>
      </c>
      <c r="G26" t="s">
        <v>323</v>
      </c>
      <c r="H26" t="s">
        <v>389</v>
      </c>
      <c r="I26" t="s">
        <v>315</v>
      </c>
      <c r="J26" t="s">
        <v>390</v>
      </c>
      <c r="K26" t="s">
        <v>391</v>
      </c>
      <c r="L26" t="s">
        <v>393</v>
      </c>
      <c r="M26" t="s">
        <v>392</v>
      </c>
      <c r="N26" t="s">
        <v>168</v>
      </c>
      <c r="O26" t="s">
        <v>169</v>
      </c>
      <c r="Q26" t="s">
        <v>171</v>
      </c>
      <c r="R26" t="s">
        <v>172</v>
      </c>
      <c r="S26" t="s">
        <v>173</v>
      </c>
      <c r="T26" t="s">
        <v>315</v>
      </c>
      <c r="U26" t="s">
        <v>324</v>
      </c>
      <c r="V26" t="s">
        <v>387</v>
      </c>
      <c r="W26" t="s">
        <v>315</v>
      </c>
      <c r="X26" t="s">
        <v>394</v>
      </c>
      <c r="Y26" t="s">
        <v>395</v>
      </c>
      <c r="Z26" t="s">
        <v>396</v>
      </c>
      <c r="AA26" t="s">
        <v>397</v>
      </c>
      <c r="AB26" t="s">
        <v>174</v>
      </c>
      <c r="AC26" t="s">
        <v>315</v>
      </c>
      <c r="AD26" t="s">
        <v>325</v>
      </c>
      <c r="AE26" t="s">
        <v>388</v>
      </c>
      <c r="AF26" t="s">
        <v>315</v>
      </c>
      <c r="AG26" t="s">
        <v>398</v>
      </c>
      <c r="AH26" t="s">
        <v>399</v>
      </c>
      <c r="AI26" t="s">
        <v>400</v>
      </c>
      <c r="AJ26" t="s">
        <v>401</v>
      </c>
      <c r="AK26" t="s">
        <v>176</v>
      </c>
      <c r="AL26" t="s">
        <v>316</v>
      </c>
      <c r="AM26" t="s">
        <v>549</v>
      </c>
      <c r="AN26" t="s">
        <v>550</v>
      </c>
      <c r="AO26" t="s">
        <v>551</v>
      </c>
    </row>
    <row r="27" spans="1:41" x14ac:dyDescent="0.2">
      <c r="A27" t="s">
        <v>177</v>
      </c>
      <c r="B27" s="20">
        <v>0.45833333333333331</v>
      </c>
      <c r="C27">
        <f>(V3/$B$19)*(R3-O3)</f>
        <v>-2.464786647181012</v>
      </c>
      <c r="D27">
        <f>(1/$B$18)*$B$23-(1/$B$18)*P3</f>
        <v>-4.0498594390982348</v>
      </c>
      <c r="E27" s="17">
        <f>(P4-P3)/(B28-B27)*(1/24)-(D27+C27)</f>
        <v>14.570515856131628</v>
      </c>
      <c r="F27">
        <f>E27/1000*1025*$B$19</f>
        <v>14.934778752534919</v>
      </c>
      <c r="G27" s="17">
        <f t="shared" ref="G27:G38" si="5">($B28-$B27)*24*F27</f>
        <v>29.869557505069832</v>
      </c>
      <c r="H27">
        <v>5.04578746654827</v>
      </c>
      <c r="I27">
        <f>H27/1000*1025*$B$19</f>
        <v>5.1719321532119764</v>
      </c>
      <c r="J27">
        <f>F27-I27</f>
        <v>9.762846599322943</v>
      </c>
      <c r="K27" s="17">
        <f>($B28-$B27)*24*J27</f>
        <v>19.525693198645882</v>
      </c>
      <c r="L27">
        <f>F27+I27</f>
        <v>20.106710905746894</v>
      </c>
      <c r="M27" s="17">
        <f>($B28-$B27)*24*L27</f>
        <v>40.213421811493781</v>
      </c>
      <c r="N27">
        <f t="shared" ref="N27:N38" si="6">(1/$B$18)*$B$22-(1/$B$18)*E3</f>
        <v>2.4830244378320003</v>
      </c>
      <c r="O27" s="17">
        <f t="shared" ref="O27:O38" si="7">(E4-E3)/(B28-B27)*(1/24)-(N27)</f>
        <v>-5.8306886532375302</v>
      </c>
      <c r="Q27">
        <f>(X3/$B$19)*(K3-J3)</f>
        <v>0.12647544898304314</v>
      </c>
      <c r="R27">
        <f t="shared" ref="R27:R38" si="8">(1/$B$18)*$B$21-(1/$B$18)*H3</f>
        <v>6.6124150960776831</v>
      </c>
      <c r="S27">
        <f t="shared" ref="S27:S38" si="9">O27/2</f>
        <v>-2.9153443266187651</v>
      </c>
      <c r="T27">
        <f>S27/1000*1025*$B$19</f>
        <v>-2.9882279347842342</v>
      </c>
      <c r="U27" s="17">
        <f>($B28-$B27)*24*T27</f>
        <v>-5.9764558695684675</v>
      </c>
      <c r="V27" s="17">
        <v>2.69277823318457</v>
      </c>
      <c r="W27">
        <f>V27/1000*1025*$B$19</f>
        <v>2.7600976890141844</v>
      </c>
      <c r="X27">
        <f>T27-W27</f>
        <v>-5.7483256237984186</v>
      </c>
      <c r="Y27" s="17">
        <f>($B28-$B27)*24*X27</f>
        <v>-11.496651247596835</v>
      </c>
      <c r="Z27">
        <f>T27+W27</f>
        <v>-0.22813024577004981</v>
      </c>
      <c r="AA27" s="17">
        <f>($B28-$B27)*24*Z27</f>
        <v>-0.45626049154009951</v>
      </c>
      <c r="AB27" s="17">
        <f t="shared" ref="AB27:AB38" si="10">(H4-H3)/(B28-B27)*(1/24)-(S27+R27+Q27)</f>
        <v>-19.086447810939163</v>
      </c>
      <c r="AC27">
        <f>AB27/1000*1025*$B$19</f>
        <v>-19.563609006212641</v>
      </c>
      <c r="AD27" s="17">
        <f>($B28-$B27)*24*AC27</f>
        <v>-39.127218012425274</v>
      </c>
      <c r="AE27" s="17">
        <v>5.2741418733593797</v>
      </c>
      <c r="AF27">
        <f>AE27/1000*1025*$B$19</f>
        <v>5.4059954201933644</v>
      </c>
      <c r="AG27">
        <f>AC27-AF27</f>
        <v>-24.969604426406004</v>
      </c>
      <c r="AH27" s="17">
        <f>($B28-$B27)*24*AG27</f>
        <v>-49.939208852811994</v>
      </c>
      <c r="AI27">
        <f>AC27+AF27</f>
        <v>-14.157613586019277</v>
      </c>
      <c r="AJ27" s="17">
        <f>($B28-$B27)*24*AI27</f>
        <v>-28.315227172038547</v>
      </c>
      <c r="AK27">
        <f t="shared" ref="AK27:AK38" si="11">F27/AC27</f>
        <v>-0.763395892229916</v>
      </c>
      <c r="AL27">
        <f>SLOPE(F27:F38,AC27:AC38)</f>
        <v>-0.73753743891256851</v>
      </c>
      <c r="AM27">
        <f>SLOPE(J27:J38,AG27:AG38)</f>
        <v>-0.73967884071482359</v>
      </c>
      <c r="AN27">
        <f>SLOPE(L27:L38,AI27:AI38)</f>
        <v>-0.7353682974212743</v>
      </c>
      <c r="AO27">
        <f>(AN27-AM27)/2</f>
        <v>2.155271646774648E-3</v>
      </c>
    </row>
    <row r="28" spans="1:41" x14ac:dyDescent="0.2">
      <c r="A28" t="s">
        <v>178</v>
      </c>
      <c r="B28" s="20">
        <v>0.54166666666666663</v>
      </c>
      <c r="C28">
        <f t="shared" ref="C28:C39" si="12">(V4/$B$19)*(R4-O4)</f>
        <v>-2.8770486675234763</v>
      </c>
      <c r="D28">
        <f t="shared" ref="D28:D39" si="13">(1/$B$18)*$B$23-(1/$B$18)*P4</f>
        <v>-5.8912011007787761</v>
      </c>
      <c r="E28" s="17">
        <f t="shared" ref="E28:E37" si="14">(P5-P4)/(B29-B28)*(1/24)-(D28+C28)</f>
        <v>13.034274579435486</v>
      </c>
      <c r="F28">
        <f t="shared" ref="F28:F38" si="15">E28/1000*1025*$B$19</f>
        <v>13.360131443921373</v>
      </c>
      <c r="G28" s="17">
        <f t="shared" si="5"/>
        <v>26.720262887842757</v>
      </c>
      <c r="H28">
        <v>5.1375981993371296</v>
      </c>
      <c r="I28">
        <f t="shared" ref="I28:I38" si="16">H28/1000*1025*$B$19</f>
        <v>5.2660381543205581</v>
      </c>
      <c r="J28">
        <f t="shared" ref="J28:J38" si="17">F28-I28</f>
        <v>8.0940932896008153</v>
      </c>
      <c r="K28" s="17">
        <f t="shared" ref="K28:K38" si="18">($B29-$B28)*24*J28</f>
        <v>16.188186579201638</v>
      </c>
      <c r="L28">
        <f t="shared" ref="L28:L37" si="19">F28+I28</f>
        <v>18.62616959824193</v>
      </c>
      <c r="M28" s="17">
        <f t="shared" ref="M28:M38" si="20">($B29-$B28)*24*L28</f>
        <v>37.252339196483874</v>
      </c>
      <c r="N28">
        <f t="shared" si="6"/>
        <v>3.2482048299247026</v>
      </c>
      <c r="O28" s="17">
        <f t="shared" si="7"/>
        <v>-12.985939188357742</v>
      </c>
      <c r="Q28">
        <f t="shared" ref="Q28:Q38" si="21">(X4/$B$19)*(K4-J4)</f>
        <v>0.13077183089150995</v>
      </c>
      <c r="R28">
        <f t="shared" si="8"/>
        <v>10.101078317219901</v>
      </c>
      <c r="S28">
        <f t="shared" si="9"/>
        <v>-6.492969594178871</v>
      </c>
      <c r="T28">
        <f t="shared" ref="T28:T38" si="22">S28/1000*1025*$B$19</f>
        <v>-6.6552938340333432</v>
      </c>
      <c r="U28" s="17">
        <f t="shared" ref="U28:U38" si="23">($B29-$B28)*24*T28</f>
        <v>-13.310587668066692</v>
      </c>
      <c r="V28" s="17">
        <v>2.69279611110476</v>
      </c>
      <c r="W28">
        <f t="shared" ref="W28:W38" si="24">V28/1000*1025*$B$19</f>
        <v>2.7601160138823788</v>
      </c>
      <c r="X28">
        <f t="shared" ref="X28:X38" si="25">T28-W28</f>
        <v>-9.415409847915722</v>
      </c>
      <c r="Y28" s="17">
        <f t="shared" ref="Y28:Y38" si="26">($B29-$B28)*24*X28</f>
        <v>-18.830819695831451</v>
      </c>
      <c r="Z28">
        <f t="shared" ref="Z28:Z38" si="27">T28+W28</f>
        <v>-3.8951778201509644</v>
      </c>
      <c r="AA28" s="17">
        <f t="shared" ref="AA28:AA38" si="28">($B29-$B28)*24*Z28</f>
        <v>-7.7903556403019323</v>
      </c>
      <c r="AB28" s="17">
        <f t="shared" si="10"/>
        <v>-16.366144332950189</v>
      </c>
      <c r="AC28">
        <f t="shared" ref="AC28:AC38" si="29">AB28/1000*1025*$B$19</f>
        <v>-16.775297941273941</v>
      </c>
      <c r="AD28" s="17">
        <f t="shared" ref="AD28:AD38" si="30">($B29-$B28)*24*AC28</f>
        <v>-33.550595882547896</v>
      </c>
      <c r="AE28" s="17">
        <v>5.33432097960723</v>
      </c>
      <c r="AF28">
        <f t="shared" ref="AF28:AF38" si="31">AE28/1000*1025*$B$19</f>
        <v>5.4676790040974099</v>
      </c>
      <c r="AG28">
        <f t="shared" ref="AG28:AG38" si="32">AC28-AF28</f>
        <v>-22.24297694537135</v>
      </c>
      <c r="AH28" s="17">
        <f t="shared" ref="AH28:AH38" si="33">($B29-$B28)*24*AG28</f>
        <v>-44.485953890742721</v>
      </c>
      <c r="AI28">
        <f t="shared" ref="AI28:AI38" si="34">AC28+AF28</f>
        <v>-11.307618937176532</v>
      </c>
      <c r="AJ28" s="17">
        <f t="shared" ref="AJ28:AJ38" si="35">($B29-$B28)*24*AI28</f>
        <v>-22.615237874353074</v>
      </c>
      <c r="AK28">
        <f t="shared" si="11"/>
        <v>-0.79641693940052816</v>
      </c>
    </row>
    <row r="29" spans="1:41" x14ac:dyDescent="0.2">
      <c r="A29" t="s">
        <v>179</v>
      </c>
      <c r="B29" s="20">
        <v>0.625</v>
      </c>
      <c r="C29">
        <f t="shared" si="12"/>
        <v>-3.1133962987633148</v>
      </c>
      <c r="D29">
        <f t="shared" si="13"/>
        <v>-6.8662924861806616</v>
      </c>
      <c r="E29" s="17">
        <f t="shared" si="14"/>
        <v>13.033943752832172</v>
      </c>
      <c r="F29">
        <f t="shared" si="15"/>
        <v>13.359792346652977</v>
      </c>
      <c r="G29" s="17">
        <f t="shared" si="5"/>
        <v>26.719584693305965</v>
      </c>
      <c r="H29">
        <v>5.01323444432267</v>
      </c>
      <c r="I29">
        <f t="shared" si="16"/>
        <v>5.1385653054307365</v>
      </c>
      <c r="J29">
        <f t="shared" si="17"/>
        <v>8.2212270412222406</v>
      </c>
      <c r="K29" s="17">
        <f t="shared" si="18"/>
        <v>16.442454082444488</v>
      </c>
      <c r="L29">
        <f t="shared" si="19"/>
        <v>18.498357652083712</v>
      </c>
      <c r="M29" s="17">
        <f t="shared" si="20"/>
        <v>36.996715304167438</v>
      </c>
      <c r="N29">
        <f t="shared" si="6"/>
        <v>5.473972683280806</v>
      </c>
      <c r="O29" s="17">
        <f t="shared" si="7"/>
        <v>-5.2572187256195662</v>
      </c>
      <c r="Q29">
        <f t="shared" si="21"/>
        <v>0.13033188969386064</v>
      </c>
      <c r="R29">
        <f t="shared" si="8"/>
        <v>12.987310038138219</v>
      </c>
      <c r="S29">
        <f t="shared" si="9"/>
        <v>-2.6286093628097831</v>
      </c>
      <c r="T29">
        <f t="shared" si="22"/>
        <v>-2.6943245968800276</v>
      </c>
      <c r="U29" s="17">
        <f t="shared" si="23"/>
        <v>-5.3886491937600578</v>
      </c>
      <c r="V29" s="17">
        <v>2.7243862516463202</v>
      </c>
      <c r="W29">
        <f t="shared" si="24"/>
        <v>2.7924959079374783</v>
      </c>
      <c r="X29">
        <f t="shared" si="25"/>
        <v>-5.4868205048175058</v>
      </c>
      <c r="Y29" s="17">
        <f t="shared" si="26"/>
        <v>-10.973641009635017</v>
      </c>
      <c r="Z29">
        <f t="shared" si="27"/>
        <v>9.8171311057450694E-2</v>
      </c>
      <c r="AA29" s="17">
        <f t="shared" si="28"/>
        <v>0.19634262211490147</v>
      </c>
      <c r="AB29" s="17">
        <f t="shared" si="10"/>
        <v>-17.629317565723689</v>
      </c>
      <c r="AC29">
        <f t="shared" si="29"/>
        <v>-18.070050504866781</v>
      </c>
      <c r="AD29" s="17">
        <f t="shared" si="30"/>
        <v>-36.140101009733577</v>
      </c>
      <c r="AE29" s="17">
        <v>5.3754207509282503</v>
      </c>
      <c r="AF29">
        <f t="shared" si="31"/>
        <v>5.5098062697014569</v>
      </c>
      <c r="AG29">
        <f t="shared" si="32"/>
        <v>-23.579856774568238</v>
      </c>
      <c r="AH29" s="17">
        <f t="shared" si="33"/>
        <v>-47.159713549136498</v>
      </c>
      <c r="AI29">
        <f t="shared" si="34"/>
        <v>-12.560244235165325</v>
      </c>
      <c r="AJ29" s="17">
        <f t="shared" si="35"/>
        <v>-25.12048847033066</v>
      </c>
      <c r="AK29">
        <f t="shared" si="11"/>
        <v>-0.73933342593894813</v>
      </c>
    </row>
    <row r="30" spans="1:41" x14ac:dyDescent="0.2">
      <c r="A30" t="s">
        <v>180</v>
      </c>
      <c r="B30" s="20">
        <v>0.70833333333333337</v>
      </c>
      <c r="C30">
        <f t="shared" si="12"/>
        <v>-3.607256992067835</v>
      </c>
      <c r="D30">
        <f t="shared" si="13"/>
        <v>-7.5644079074122494</v>
      </c>
      <c r="E30" s="17">
        <f t="shared" si="14"/>
        <v>-7.5082377207703885</v>
      </c>
      <c r="F30">
        <f t="shared" si="15"/>
        <v>-7.6959436637896488</v>
      </c>
      <c r="G30" s="17">
        <f t="shared" si="5"/>
        <v>-15.391887327579283</v>
      </c>
      <c r="H30">
        <v>4.9976506466998396</v>
      </c>
      <c r="I30">
        <f t="shared" si="16"/>
        <v>5.1225919128673354</v>
      </c>
      <c r="J30">
        <f t="shared" si="17"/>
        <v>-12.818535576656984</v>
      </c>
      <c r="K30" s="17">
        <f t="shared" si="18"/>
        <v>-25.637071153313947</v>
      </c>
      <c r="L30">
        <f t="shared" si="19"/>
        <v>-2.5733517509223134</v>
      </c>
      <c r="M30" s="17">
        <f t="shared" si="20"/>
        <v>-5.1467035018446223</v>
      </c>
      <c r="N30">
        <f t="shared" si="6"/>
        <v>5.4244289215296817</v>
      </c>
      <c r="O30" s="17">
        <f t="shared" si="7"/>
        <v>-5.0863626292953654</v>
      </c>
      <c r="Q30">
        <f t="shared" si="21"/>
        <v>0.16122386435011218</v>
      </c>
      <c r="R30">
        <f t="shared" si="8"/>
        <v>14.619375181155675</v>
      </c>
      <c r="S30">
        <f t="shared" si="9"/>
        <v>-2.5431813146476827</v>
      </c>
      <c r="T30">
        <f t="shared" si="22"/>
        <v>-2.6067608475138746</v>
      </c>
      <c r="U30" s="17">
        <f t="shared" si="23"/>
        <v>-5.2135216950277448</v>
      </c>
      <c r="V30" s="17">
        <v>2.75795817870558</v>
      </c>
      <c r="W30">
        <f t="shared" si="24"/>
        <v>2.8269071331732194</v>
      </c>
      <c r="X30">
        <f t="shared" si="25"/>
        <v>-5.433667980687094</v>
      </c>
      <c r="Y30" s="17">
        <f t="shared" si="26"/>
        <v>-10.867335961374179</v>
      </c>
      <c r="Z30">
        <f t="shared" si="27"/>
        <v>0.2201462856593448</v>
      </c>
      <c r="AA30" s="17">
        <f t="shared" si="28"/>
        <v>0.44029257131868921</v>
      </c>
      <c r="AB30" s="17">
        <f t="shared" si="10"/>
        <v>-0.56034142103776041</v>
      </c>
      <c r="AC30">
        <f t="shared" si="29"/>
        <v>-0.57434995656370447</v>
      </c>
      <c r="AD30" s="17">
        <f t="shared" si="30"/>
        <v>-1.1486999131274078</v>
      </c>
      <c r="AE30" s="17">
        <v>5.3271569973584496</v>
      </c>
      <c r="AF30">
        <f t="shared" si="31"/>
        <v>5.460335922292411</v>
      </c>
      <c r="AG30">
        <f t="shared" si="32"/>
        <v>-6.0346858788561155</v>
      </c>
      <c r="AH30" s="17">
        <f t="shared" si="33"/>
        <v>-12.06937175771222</v>
      </c>
      <c r="AI30">
        <f t="shared" si="34"/>
        <v>4.8859859657287066</v>
      </c>
      <c r="AJ30" s="17">
        <f t="shared" si="35"/>
        <v>9.7719719314574043</v>
      </c>
      <c r="AK30">
        <f t="shared" si="11"/>
        <v>13.399398007852112</v>
      </c>
    </row>
    <row r="31" spans="1:41" x14ac:dyDescent="0.2">
      <c r="A31" t="s">
        <v>181</v>
      </c>
      <c r="B31" s="20">
        <v>0.79166666666666663</v>
      </c>
      <c r="C31">
        <f t="shared" si="12"/>
        <v>-1.8399075776135194</v>
      </c>
      <c r="D31">
        <f t="shared" si="13"/>
        <v>-3.2947158799264287</v>
      </c>
      <c r="E31" s="17">
        <f t="shared" si="14"/>
        <v>-7.9716812637984642</v>
      </c>
      <c r="F31">
        <f t="shared" si="15"/>
        <v>-8.1709732953934253</v>
      </c>
      <c r="G31" s="17">
        <f t="shared" si="5"/>
        <v>-16.341946590786858</v>
      </c>
      <c r="H31">
        <v>5.0051169174697998</v>
      </c>
      <c r="I31">
        <f t="shared" si="16"/>
        <v>5.1302448404065455</v>
      </c>
      <c r="J31">
        <f t="shared" si="17"/>
        <v>-13.301218135799971</v>
      </c>
      <c r="K31" s="17">
        <f t="shared" si="18"/>
        <v>-26.602436271599952</v>
      </c>
      <c r="L31">
        <f t="shared" si="19"/>
        <v>-3.0407284549868798</v>
      </c>
      <c r="M31" s="17">
        <f t="shared" si="20"/>
        <v>-6.0814569099737623</v>
      </c>
      <c r="N31">
        <f t="shared" si="6"/>
        <v>5.3471566261618477</v>
      </c>
      <c r="O31" s="17">
        <f t="shared" si="7"/>
        <v>3.2953761459894473</v>
      </c>
      <c r="Q31">
        <f t="shared" si="21"/>
        <v>0.15055643248622777</v>
      </c>
      <c r="R31">
        <f t="shared" si="8"/>
        <v>11.950329167482465</v>
      </c>
      <c r="S31">
        <f t="shared" si="9"/>
        <v>1.6476880729947236</v>
      </c>
      <c r="T31">
        <f t="shared" si="22"/>
        <v>1.6888802748195917</v>
      </c>
      <c r="U31" s="17">
        <f t="shared" si="23"/>
        <v>3.3777605496391847</v>
      </c>
      <c r="V31" s="17">
        <v>2.7202654883329198</v>
      </c>
      <c r="W31">
        <f t="shared" si="24"/>
        <v>2.7882721255412424</v>
      </c>
      <c r="X31">
        <f t="shared" si="25"/>
        <v>-1.0993918507216507</v>
      </c>
      <c r="Y31" s="17">
        <f t="shared" si="26"/>
        <v>-2.1987837014433023</v>
      </c>
      <c r="Z31">
        <f t="shared" si="27"/>
        <v>4.4771524003608345</v>
      </c>
      <c r="AA31" s="17">
        <f t="shared" si="28"/>
        <v>8.9543048007216726</v>
      </c>
      <c r="AB31" s="17">
        <f t="shared" si="10"/>
        <v>-1.039616216306646</v>
      </c>
      <c r="AC31">
        <f t="shared" si="29"/>
        <v>-1.0656066217143121</v>
      </c>
      <c r="AD31" s="17">
        <f t="shared" si="30"/>
        <v>-2.1312132434286251</v>
      </c>
      <c r="AE31" s="17">
        <v>5.4624542552364899</v>
      </c>
      <c r="AF31">
        <f t="shared" si="31"/>
        <v>5.5990156116174026</v>
      </c>
      <c r="AG31">
        <f t="shared" si="32"/>
        <v>-6.6646222333317144</v>
      </c>
      <c r="AH31" s="17">
        <f t="shared" si="33"/>
        <v>-13.329244466663434</v>
      </c>
      <c r="AI31">
        <f t="shared" si="34"/>
        <v>4.5334089899030907</v>
      </c>
      <c r="AJ31" s="17">
        <f t="shared" si="35"/>
        <v>9.066817979806185</v>
      </c>
      <c r="AK31">
        <f t="shared" si="11"/>
        <v>7.6679077709260461</v>
      </c>
    </row>
    <row r="32" spans="1:41" x14ac:dyDescent="0.2">
      <c r="A32" t="s">
        <v>182</v>
      </c>
      <c r="B32" s="20">
        <v>0.875</v>
      </c>
      <c r="C32">
        <f t="shared" si="12"/>
        <v>-0.43171127204841686</v>
      </c>
      <c r="D32">
        <f t="shared" si="13"/>
        <v>-0.29898908647764699</v>
      </c>
      <c r="E32" s="17">
        <f t="shared" si="14"/>
        <v>-14.925742893163708</v>
      </c>
      <c r="F32">
        <f t="shared" si="15"/>
        <v>-15.298886465492801</v>
      </c>
      <c r="G32" s="17">
        <f t="shared" si="5"/>
        <v>-30.597772930985617</v>
      </c>
      <c r="H32">
        <v>5.1041317160029802</v>
      </c>
      <c r="I32">
        <f t="shared" si="16"/>
        <v>5.2317350089030548</v>
      </c>
      <c r="J32">
        <f t="shared" si="17"/>
        <v>-20.530621474395858</v>
      </c>
      <c r="K32" s="17">
        <f t="shared" si="18"/>
        <v>-41.061242948791737</v>
      </c>
      <c r="L32">
        <f t="shared" si="19"/>
        <v>-10.067151456589746</v>
      </c>
      <c r="M32" s="17">
        <f t="shared" si="20"/>
        <v>-20.134302913179503</v>
      </c>
      <c r="N32">
        <f t="shared" si="6"/>
        <v>3.3717205639558188</v>
      </c>
      <c r="O32" s="17">
        <f t="shared" si="7"/>
        <v>-0.21909839226748451</v>
      </c>
      <c r="Q32">
        <f t="shared" si="21"/>
        <v>0.14036892831116882</v>
      </c>
      <c r="R32">
        <f t="shared" si="8"/>
        <v>9.0454246059609034</v>
      </c>
      <c r="S32">
        <f t="shared" si="9"/>
        <v>-0.10954919613374225</v>
      </c>
      <c r="T32">
        <f t="shared" si="22"/>
        <v>-0.11228792603708582</v>
      </c>
      <c r="U32" s="17">
        <f t="shared" si="23"/>
        <v>-0.22457585207417174</v>
      </c>
      <c r="V32" s="17">
        <v>2.72191140444593</v>
      </c>
      <c r="W32">
        <f t="shared" si="24"/>
        <v>2.7899591895570781</v>
      </c>
      <c r="X32">
        <f t="shared" si="25"/>
        <v>-2.902247115594164</v>
      </c>
      <c r="Y32" s="17">
        <f t="shared" si="26"/>
        <v>-5.8044942311883307</v>
      </c>
      <c r="Z32">
        <f t="shared" si="27"/>
        <v>2.6776712635199922</v>
      </c>
      <c r="AA32" s="17">
        <f t="shared" si="28"/>
        <v>5.355342527039987</v>
      </c>
      <c r="AB32" s="17">
        <f t="shared" si="10"/>
        <v>22.063863382977324</v>
      </c>
      <c r="AC32">
        <f t="shared" si="29"/>
        <v>22.615459967551757</v>
      </c>
      <c r="AD32" s="17">
        <f t="shared" si="30"/>
        <v>45.230919935103536</v>
      </c>
      <c r="AE32" s="17">
        <v>5.4658663594525096</v>
      </c>
      <c r="AF32">
        <f t="shared" si="31"/>
        <v>5.602513018438823</v>
      </c>
      <c r="AG32">
        <f t="shared" si="32"/>
        <v>17.012946949112933</v>
      </c>
      <c r="AH32" s="17">
        <f t="shared" si="33"/>
        <v>34.025893898225881</v>
      </c>
      <c r="AI32">
        <f t="shared" si="34"/>
        <v>28.217972985990581</v>
      </c>
      <c r="AJ32" s="17">
        <f t="shared" si="35"/>
        <v>56.435945971981191</v>
      </c>
      <c r="AK32">
        <f t="shared" si="11"/>
        <v>-0.67647912036471336</v>
      </c>
    </row>
    <row r="33" spans="1:39" x14ac:dyDescent="0.2">
      <c r="A33" t="s">
        <v>183</v>
      </c>
      <c r="B33" s="20">
        <v>0.95833333333333337</v>
      </c>
      <c r="C33">
        <f t="shared" si="12"/>
        <v>1.1940722719527972</v>
      </c>
      <c r="D33">
        <f t="shared" si="13"/>
        <v>3.2796265139085889</v>
      </c>
      <c r="E33" s="17">
        <f t="shared" si="14"/>
        <v>-6.8588658902836652</v>
      </c>
      <c r="F33">
        <f t="shared" si="15"/>
        <v>-7.0303375375407562</v>
      </c>
      <c r="G33" s="17">
        <f t="shared" si="5"/>
        <v>-14.060675075081519</v>
      </c>
      <c r="H33">
        <v>5.0468311129042096</v>
      </c>
      <c r="I33">
        <f t="shared" si="16"/>
        <v>5.1730018907268143</v>
      </c>
      <c r="J33">
        <f t="shared" si="17"/>
        <v>-12.20333942826757</v>
      </c>
      <c r="K33" s="17">
        <f t="shared" si="18"/>
        <v>-24.406678856535152</v>
      </c>
      <c r="L33">
        <f t="shared" si="19"/>
        <v>-1.8573356468139419</v>
      </c>
      <c r="M33" s="17">
        <f t="shared" si="20"/>
        <v>-3.7146712936278856</v>
      </c>
      <c r="N33">
        <f t="shared" si="6"/>
        <v>2.6511212104270498</v>
      </c>
      <c r="O33" s="17">
        <f t="shared" si="7"/>
        <v>1.2368580609034989</v>
      </c>
      <c r="Q33">
        <f t="shared" si="21"/>
        <v>5.2040041591641904E-2</v>
      </c>
      <c r="R33">
        <f t="shared" si="8"/>
        <v>1.9276856982773438</v>
      </c>
      <c r="S33">
        <f t="shared" si="9"/>
        <v>0.61842903045174946</v>
      </c>
      <c r="T33">
        <f t="shared" si="22"/>
        <v>0.63388975621304322</v>
      </c>
      <c r="U33" s="17">
        <f t="shared" si="23"/>
        <v>1.2677795124260871</v>
      </c>
      <c r="V33" s="17">
        <v>2.7180683962287402</v>
      </c>
      <c r="W33">
        <f t="shared" si="24"/>
        <v>2.7860201061344587</v>
      </c>
      <c r="X33">
        <f t="shared" si="25"/>
        <v>-2.1521303499214155</v>
      </c>
      <c r="Y33" s="17">
        <f t="shared" si="26"/>
        <v>-4.3042606998428328</v>
      </c>
      <c r="Z33">
        <f t="shared" si="27"/>
        <v>3.4199098623475019</v>
      </c>
      <c r="AA33" s="17">
        <f t="shared" si="28"/>
        <v>6.8398197246950065</v>
      </c>
      <c r="AB33" s="17">
        <f t="shared" si="10"/>
        <v>13.174559151858293</v>
      </c>
      <c r="AC33">
        <f t="shared" si="29"/>
        <v>13.503923130654751</v>
      </c>
      <c r="AD33" s="17">
        <f t="shared" si="30"/>
        <v>27.007846261309513</v>
      </c>
      <c r="AE33" s="17">
        <v>5.3639655248816398</v>
      </c>
      <c r="AF33">
        <f t="shared" si="31"/>
        <v>5.4980646630036807</v>
      </c>
      <c r="AG33">
        <f t="shared" si="32"/>
        <v>8.0058584676510698</v>
      </c>
      <c r="AH33" s="17">
        <f t="shared" si="33"/>
        <v>16.011716935302147</v>
      </c>
      <c r="AI33">
        <f t="shared" si="34"/>
        <v>19.001987793658433</v>
      </c>
      <c r="AJ33" s="17">
        <f t="shared" si="35"/>
        <v>38.00397558731688</v>
      </c>
      <c r="AK33">
        <f t="shared" si="11"/>
        <v>-0.52061445177967947</v>
      </c>
    </row>
    <row r="34" spans="1:39" x14ac:dyDescent="0.2">
      <c r="A34" t="s">
        <v>184</v>
      </c>
      <c r="B34" s="20">
        <v>1.0416666666666667</v>
      </c>
      <c r="C34">
        <f t="shared" si="12"/>
        <v>1.0624574740984249</v>
      </c>
      <c r="D34">
        <f t="shared" si="13"/>
        <v>3.8248075663479675</v>
      </c>
      <c r="E34" s="17">
        <f t="shared" si="14"/>
        <v>-5.5916829405905579</v>
      </c>
      <c r="F34">
        <f t="shared" si="15"/>
        <v>-5.7314750141053219</v>
      </c>
      <c r="G34" s="17">
        <f t="shared" si="5"/>
        <v>-11.462950028210633</v>
      </c>
      <c r="H34">
        <v>5.0976055698963298</v>
      </c>
      <c r="I34">
        <f t="shared" si="16"/>
        <v>5.2250457091437381</v>
      </c>
      <c r="J34">
        <f t="shared" si="17"/>
        <v>-10.95652072324906</v>
      </c>
      <c r="K34" s="17">
        <f t="shared" si="18"/>
        <v>-21.913041446498102</v>
      </c>
      <c r="L34">
        <f t="shared" si="19"/>
        <v>-0.50642930496158378</v>
      </c>
      <c r="M34" s="17">
        <f t="shared" si="20"/>
        <v>-1.0128586099231667</v>
      </c>
      <c r="N34">
        <f t="shared" si="6"/>
        <v>1.7624402341229484</v>
      </c>
      <c r="O34" s="17">
        <f t="shared" si="7"/>
        <v>-6.1178580761249499</v>
      </c>
      <c r="Q34">
        <f t="shared" si="21"/>
        <v>1.5346037353173296E-3</v>
      </c>
      <c r="R34">
        <f t="shared" si="8"/>
        <v>-1.6775060553635797</v>
      </c>
      <c r="S34">
        <f t="shared" si="9"/>
        <v>-3.058929038062475</v>
      </c>
      <c r="T34">
        <f t="shared" si="22"/>
        <v>-3.1354022640140364</v>
      </c>
      <c r="U34" s="17">
        <f t="shared" si="23"/>
        <v>-6.2708045280280675</v>
      </c>
      <c r="V34" s="17">
        <v>2.6930438303721398</v>
      </c>
      <c r="W34">
        <f t="shared" si="24"/>
        <v>2.7603699261314434</v>
      </c>
      <c r="X34">
        <f t="shared" si="25"/>
        <v>-5.8957721901454798</v>
      </c>
      <c r="Y34" s="17">
        <f t="shared" si="26"/>
        <v>-11.791544380290949</v>
      </c>
      <c r="Z34">
        <f t="shared" si="27"/>
        <v>-0.37503233788259305</v>
      </c>
      <c r="AA34" s="17">
        <f t="shared" si="28"/>
        <v>-0.75006467576518543</v>
      </c>
      <c r="AB34" s="17">
        <f t="shared" si="10"/>
        <v>-5.1739554674097832</v>
      </c>
      <c r="AC34">
        <f t="shared" si="29"/>
        <v>-5.3033043540950278</v>
      </c>
      <c r="AD34" s="17">
        <f t="shared" si="30"/>
        <v>-10.606608708190047</v>
      </c>
      <c r="AE34" s="17">
        <v>5.3243340056563202</v>
      </c>
      <c r="AF34">
        <f t="shared" si="31"/>
        <v>5.4574423557977276</v>
      </c>
      <c r="AG34">
        <f t="shared" si="32"/>
        <v>-10.760746709892755</v>
      </c>
      <c r="AH34" s="17">
        <f t="shared" si="33"/>
        <v>-21.521493419785493</v>
      </c>
      <c r="AI34">
        <f t="shared" si="34"/>
        <v>0.15413800170269987</v>
      </c>
      <c r="AJ34" s="17">
        <f t="shared" si="35"/>
        <v>0.30827600340539946</v>
      </c>
      <c r="AK34">
        <f t="shared" si="11"/>
        <v>1.0807365807092848</v>
      </c>
    </row>
    <row r="35" spans="1:39" x14ac:dyDescent="0.2">
      <c r="A35" t="s">
        <v>185</v>
      </c>
      <c r="B35" s="20">
        <v>1.125</v>
      </c>
      <c r="C35">
        <f t="shared" si="12"/>
        <v>0.94633982006675721</v>
      </c>
      <c r="D35">
        <f t="shared" si="13"/>
        <v>3.9858173720952017</v>
      </c>
      <c r="E35" s="17">
        <f t="shared" si="14"/>
        <v>-5.7021284293426442</v>
      </c>
      <c r="F35">
        <f t="shared" si="15"/>
        <v>-5.8446816400762103</v>
      </c>
      <c r="G35" s="17">
        <f t="shared" si="5"/>
        <v>-11.68936328015241</v>
      </c>
      <c r="H35">
        <v>5.0669893921201297</v>
      </c>
      <c r="I35">
        <f t="shared" si="16"/>
        <v>5.1936641269231334</v>
      </c>
      <c r="J35">
        <f t="shared" si="17"/>
        <v>-11.038345766999344</v>
      </c>
      <c r="K35" s="17">
        <f t="shared" si="18"/>
        <v>-22.076691533998666</v>
      </c>
      <c r="L35">
        <f t="shared" si="19"/>
        <v>-0.65101751315307688</v>
      </c>
      <c r="M35" s="17">
        <f t="shared" si="20"/>
        <v>-1.3020350263061526</v>
      </c>
      <c r="N35">
        <f t="shared" si="6"/>
        <v>2.7579643122948028</v>
      </c>
      <c r="O35" s="17">
        <f t="shared" si="7"/>
        <v>-3.4907431974141905</v>
      </c>
      <c r="Q35">
        <f t="shared" si="21"/>
        <v>2.0411559844184274E-2</v>
      </c>
      <c r="R35">
        <f t="shared" si="8"/>
        <v>0.58737530625938916</v>
      </c>
      <c r="S35">
        <f t="shared" si="9"/>
        <v>-1.7453715987070952</v>
      </c>
      <c r="T35">
        <f t="shared" si="22"/>
        <v>-1.7890058886747726</v>
      </c>
      <c r="U35" s="17">
        <f t="shared" si="23"/>
        <v>-3.5780117773495421</v>
      </c>
      <c r="V35" s="17">
        <v>2.71738777357678</v>
      </c>
      <c r="W35">
        <f t="shared" si="24"/>
        <v>2.7853224679161994</v>
      </c>
      <c r="X35">
        <f t="shared" si="25"/>
        <v>-4.5743283565909723</v>
      </c>
      <c r="Y35" s="17">
        <f t="shared" si="26"/>
        <v>-9.1486567131819356</v>
      </c>
      <c r="Z35">
        <f t="shared" si="27"/>
        <v>0.9963165792414268</v>
      </c>
      <c r="AA35" s="17">
        <f t="shared" si="28"/>
        <v>1.9926331584828518</v>
      </c>
      <c r="AB35" s="17">
        <f t="shared" si="10"/>
        <v>1.4550327772619986</v>
      </c>
      <c r="AC35">
        <f t="shared" si="29"/>
        <v>1.4914085966935486</v>
      </c>
      <c r="AD35" s="17">
        <f t="shared" si="30"/>
        <v>2.9828171933870946</v>
      </c>
      <c r="AE35" s="17">
        <v>5.4361075612890604</v>
      </c>
      <c r="AF35">
        <f t="shared" si="31"/>
        <v>5.5720102503212869</v>
      </c>
      <c r="AG35">
        <f t="shared" si="32"/>
        <v>-4.0806016536277383</v>
      </c>
      <c r="AH35" s="17">
        <f t="shared" si="33"/>
        <v>-8.1612033072554695</v>
      </c>
      <c r="AI35">
        <f t="shared" si="34"/>
        <v>7.0634188470148356</v>
      </c>
      <c r="AJ35" s="17">
        <f t="shared" si="35"/>
        <v>14.126837694029659</v>
      </c>
      <c r="AK35">
        <f t="shared" si="11"/>
        <v>-3.9189003288795998</v>
      </c>
    </row>
    <row r="36" spans="1:39" x14ac:dyDescent="0.2">
      <c r="A36" t="s">
        <v>186</v>
      </c>
      <c r="B36" s="20">
        <v>1.2083333333333333</v>
      </c>
      <c r="C36">
        <f t="shared" si="12"/>
        <v>1.0073190232028326</v>
      </c>
      <c r="D36">
        <f t="shared" si="13"/>
        <v>4.1618107977365035</v>
      </c>
      <c r="E36" s="17">
        <f t="shared" si="14"/>
        <v>-7.3931560210111513</v>
      </c>
      <c r="F36">
        <f t="shared" si="15"/>
        <v>-7.5779849215364301</v>
      </c>
      <c r="G36" s="17">
        <f t="shared" si="5"/>
        <v>-15.155969843072887</v>
      </c>
      <c r="H36">
        <v>5.0719905232628797</v>
      </c>
      <c r="I36">
        <f t="shared" si="16"/>
        <v>5.1987902863444511</v>
      </c>
      <c r="J36">
        <f t="shared" si="17"/>
        <v>-12.776775207880881</v>
      </c>
      <c r="K36" s="17">
        <f t="shared" si="18"/>
        <v>-25.553550415761809</v>
      </c>
      <c r="L36">
        <f t="shared" si="19"/>
        <v>-2.379194635191979</v>
      </c>
      <c r="M36" s="17">
        <f t="shared" si="20"/>
        <v>-4.758389270383967</v>
      </c>
      <c r="N36">
        <f t="shared" si="6"/>
        <v>2.925456628893528</v>
      </c>
      <c r="O36" s="17">
        <f t="shared" si="7"/>
        <v>-0.17340690184852781</v>
      </c>
      <c r="Q36">
        <f t="shared" si="21"/>
        <v>2.0667381451844831E-2</v>
      </c>
      <c r="R36">
        <f t="shared" si="8"/>
        <v>0.51481575319459694</v>
      </c>
      <c r="S36">
        <f t="shared" si="9"/>
        <v>-8.6703450924263903E-2</v>
      </c>
      <c r="T36">
        <f t="shared" si="22"/>
        <v>-8.8871037197370495E-2</v>
      </c>
      <c r="U36" s="17">
        <f t="shared" si="23"/>
        <v>-0.1777420743947413</v>
      </c>
      <c r="V36" s="17">
        <v>2.7610273381630801</v>
      </c>
      <c r="W36">
        <f t="shared" si="24"/>
        <v>2.8300530216171573</v>
      </c>
      <c r="X36">
        <f t="shared" si="25"/>
        <v>-2.918924058814528</v>
      </c>
      <c r="Y36" s="17">
        <f t="shared" si="26"/>
        <v>-5.8378481176290666</v>
      </c>
      <c r="Z36">
        <f t="shared" si="27"/>
        <v>2.7411819844197867</v>
      </c>
      <c r="AA36" s="17">
        <f t="shared" si="28"/>
        <v>5.4823639688395831</v>
      </c>
      <c r="AB36" s="17">
        <f t="shared" si="10"/>
        <v>8.1247178135515128</v>
      </c>
      <c r="AC36">
        <f t="shared" si="29"/>
        <v>8.3278357588903003</v>
      </c>
      <c r="AD36" s="17">
        <f t="shared" si="30"/>
        <v>16.655671517780629</v>
      </c>
      <c r="AE36" s="17">
        <v>5.3181758602479503</v>
      </c>
      <c r="AF36">
        <f t="shared" si="31"/>
        <v>5.4511302567541495</v>
      </c>
      <c r="AG36">
        <f t="shared" si="32"/>
        <v>2.8767055021361507</v>
      </c>
      <c r="AH36" s="17">
        <f t="shared" si="33"/>
        <v>5.7534110042723121</v>
      </c>
      <c r="AI36">
        <f t="shared" si="34"/>
        <v>13.77896601564445</v>
      </c>
      <c r="AJ36" s="17">
        <f t="shared" si="35"/>
        <v>27.557932031288949</v>
      </c>
      <c r="AK36">
        <f t="shared" si="11"/>
        <v>-0.90995849833453135</v>
      </c>
    </row>
    <row r="37" spans="1:39" x14ac:dyDescent="0.2">
      <c r="A37" t="s">
        <v>187</v>
      </c>
      <c r="B37" s="20">
        <v>1.2916666666666667</v>
      </c>
      <c r="C37">
        <f t="shared" si="12"/>
        <v>1.3799456789254703</v>
      </c>
      <c r="D37">
        <f t="shared" si="13"/>
        <v>4.6701596434672048</v>
      </c>
      <c r="E37" s="17">
        <f t="shared" si="14"/>
        <v>8.6214832639669723</v>
      </c>
      <c r="F37">
        <f t="shared" si="15"/>
        <v>8.8370203455661471</v>
      </c>
      <c r="G37" s="17">
        <f t="shared" si="5"/>
        <v>17.67404069113228</v>
      </c>
      <c r="H37">
        <v>5.0709267918217602</v>
      </c>
      <c r="I37">
        <f t="shared" si="16"/>
        <v>5.1976999616173041</v>
      </c>
      <c r="J37">
        <f t="shared" si="17"/>
        <v>3.6393203839488431</v>
      </c>
      <c r="K37" s="17">
        <f t="shared" si="18"/>
        <v>7.2786407678976799</v>
      </c>
      <c r="L37">
        <f t="shared" si="19"/>
        <v>14.034720307183452</v>
      </c>
      <c r="M37" s="17">
        <f t="shared" si="20"/>
        <v>28.069440614366879</v>
      </c>
      <c r="N37">
        <f t="shared" si="6"/>
        <v>2.2964166912832411</v>
      </c>
      <c r="O37" s="17">
        <f t="shared" si="7"/>
        <v>0.72968662546208218</v>
      </c>
      <c r="Q37">
        <f t="shared" si="21"/>
        <v>9.3940830673413453E-3</v>
      </c>
      <c r="R37">
        <f t="shared" si="8"/>
        <v>-1.4448408176108387</v>
      </c>
      <c r="S37">
        <f t="shared" si="9"/>
        <v>0.36484331273104109</v>
      </c>
      <c r="T37">
        <f t="shared" si="22"/>
        <v>0.37396439554931715</v>
      </c>
      <c r="U37" s="17">
        <f t="shared" si="23"/>
        <v>0.74792879109863364</v>
      </c>
      <c r="V37" s="17">
        <v>2.7250505805196301</v>
      </c>
      <c r="W37">
        <f t="shared" si="24"/>
        <v>2.7931768450326211</v>
      </c>
      <c r="X37">
        <f t="shared" si="25"/>
        <v>-2.4192124494833038</v>
      </c>
      <c r="Y37" s="17">
        <f t="shared" si="26"/>
        <v>-4.8384248989666032</v>
      </c>
      <c r="Z37">
        <f t="shared" si="27"/>
        <v>3.1671412405819384</v>
      </c>
      <c r="AA37" s="17">
        <f t="shared" si="28"/>
        <v>6.3342824811638714</v>
      </c>
      <c r="AB37" s="17">
        <f t="shared" si="10"/>
        <v>-1.5271395887463615</v>
      </c>
      <c r="AC37">
        <f t="shared" si="29"/>
        <v>-1.5653180784650205</v>
      </c>
      <c r="AD37" s="17">
        <f t="shared" si="30"/>
        <v>-3.1306361569300383</v>
      </c>
      <c r="AE37" s="17">
        <v>5.4455476795613098</v>
      </c>
      <c r="AF37">
        <f t="shared" si="31"/>
        <v>5.5816863715503429</v>
      </c>
      <c r="AG37">
        <f t="shared" si="32"/>
        <v>-7.1470044500153636</v>
      </c>
      <c r="AH37" s="17">
        <f t="shared" si="33"/>
        <v>-14.294008900030715</v>
      </c>
      <c r="AI37">
        <f t="shared" si="34"/>
        <v>4.0163682930853222</v>
      </c>
      <c r="AJ37" s="17">
        <f t="shared" si="35"/>
        <v>8.0327365861706372</v>
      </c>
      <c r="AK37">
        <f t="shared" si="11"/>
        <v>-5.6455109457573576</v>
      </c>
    </row>
    <row r="38" spans="1:39" x14ac:dyDescent="0.2">
      <c r="A38" t="s">
        <v>188</v>
      </c>
      <c r="B38" s="20">
        <v>1.375</v>
      </c>
      <c r="C38">
        <f t="shared" si="12"/>
        <v>0.46396440575983544</v>
      </c>
      <c r="D38">
        <f t="shared" si="13"/>
        <v>1.316653680870715</v>
      </c>
      <c r="E38" s="17">
        <f>(P15-P14)/(B39-B38)*(1/24)-(D38+C38)</f>
        <v>13.377677076151347</v>
      </c>
      <c r="F38">
        <f t="shared" si="15"/>
        <v>13.712119003055131</v>
      </c>
      <c r="G38" s="17">
        <f t="shared" si="5"/>
        <v>27.424238006110237</v>
      </c>
      <c r="H38">
        <v>5.0047387348776704</v>
      </c>
      <c r="I38">
        <f t="shared" si="16"/>
        <v>5.1298572032496121</v>
      </c>
      <c r="J38">
        <f t="shared" si="17"/>
        <v>8.5822617998055186</v>
      </c>
      <c r="K38" s="17">
        <f t="shared" si="18"/>
        <v>17.164523599611023</v>
      </c>
      <c r="L38">
        <f>F38+I38</f>
        <v>18.841976206304743</v>
      </c>
      <c r="M38" s="17">
        <f t="shared" si="20"/>
        <v>37.68395241260945</v>
      </c>
      <c r="N38">
        <f t="shared" si="6"/>
        <v>1.6047359331700477</v>
      </c>
      <c r="O38" s="17">
        <f t="shared" si="7"/>
        <v>-7.5788249702574761</v>
      </c>
      <c r="Q38">
        <f t="shared" si="21"/>
        <v>3.2562862306972702E-2</v>
      </c>
      <c r="R38">
        <f t="shared" si="8"/>
        <v>-0.85107098662595604</v>
      </c>
      <c r="S38">
        <f t="shared" si="9"/>
        <v>-3.7894124851287381</v>
      </c>
      <c r="T38">
        <f t="shared" si="22"/>
        <v>-3.8841477972569565</v>
      </c>
      <c r="U38" s="17">
        <f t="shared" si="23"/>
        <v>-7.7682955945139058</v>
      </c>
      <c r="V38" s="17">
        <v>2.73009465586903</v>
      </c>
      <c r="W38">
        <f t="shared" si="24"/>
        <v>2.7983470222657556</v>
      </c>
      <c r="X38">
        <f t="shared" si="25"/>
        <v>-6.6824948195227121</v>
      </c>
      <c r="Y38" s="17">
        <f t="shared" si="26"/>
        <v>-13.364989639045412</v>
      </c>
      <c r="Z38">
        <f t="shared" si="27"/>
        <v>-1.0858007749912009</v>
      </c>
      <c r="AA38" s="17">
        <f t="shared" si="28"/>
        <v>-2.1716015499824</v>
      </c>
      <c r="AB38" s="17">
        <f t="shared" si="10"/>
        <v>-15.696437538157809</v>
      </c>
      <c r="AC38">
        <f t="shared" si="29"/>
        <v>-16.088848476611755</v>
      </c>
      <c r="AD38" s="17">
        <f t="shared" si="30"/>
        <v>-32.177696953223482</v>
      </c>
      <c r="AE38" s="17">
        <v>5.5023246841022502</v>
      </c>
      <c r="AF38">
        <f t="shared" si="31"/>
        <v>5.6398828012048066</v>
      </c>
      <c r="AG38">
        <f t="shared" si="32"/>
        <v>-21.728731277816561</v>
      </c>
      <c r="AH38" s="17">
        <f t="shared" si="33"/>
        <v>-43.457462555633086</v>
      </c>
      <c r="AI38">
        <f t="shared" si="34"/>
        <v>-10.448965675406949</v>
      </c>
      <c r="AJ38" s="17">
        <f t="shared" si="35"/>
        <v>-20.897931350813881</v>
      </c>
      <c r="AK38">
        <f t="shared" si="11"/>
        <v>-0.85227473072347848</v>
      </c>
    </row>
    <row r="39" spans="1:39" x14ac:dyDescent="0.2">
      <c r="A39" t="s">
        <v>189</v>
      </c>
      <c r="B39" s="20">
        <v>1.4583333333333333</v>
      </c>
      <c r="C39">
        <f t="shared" si="12"/>
        <v>-1.2415264375657158</v>
      </c>
      <c r="D39">
        <f t="shared" si="13"/>
        <v>-2.1480994991937123</v>
      </c>
      <c r="E39" s="17" t="s">
        <v>195</v>
      </c>
      <c r="G39" s="17"/>
      <c r="M39" s="47"/>
      <c r="N39" t="s">
        <v>195</v>
      </c>
      <c r="O39" s="17" t="s">
        <v>195</v>
      </c>
      <c r="P39" s="17"/>
      <c r="Q39" s="17"/>
      <c r="S39" t="s">
        <v>195</v>
      </c>
      <c r="T39" t="s">
        <v>195</v>
      </c>
      <c r="U39" t="s">
        <v>195</v>
      </c>
      <c r="AD39" s="17" t="s">
        <v>195</v>
      </c>
      <c r="AE39" s="17"/>
      <c r="AF39" s="17"/>
      <c r="AK39" s="17"/>
      <c r="AM39" t="s">
        <v>195</v>
      </c>
    </row>
    <row r="40" spans="1:39" x14ac:dyDescent="0.2">
      <c r="H40" s="17"/>
    </row>
    <row r="41" spans="1:39" x14ac:dyDescent="0.2">
      <c r="A41" t="s">
        <v>317</v>
      </c>
      <c r="B41" s="17">
        <f>SUM(G27:G38)</f>
        <v>13.707118707591849</v>
      </c>
      <c r="C41" t="s">
        <v>402</v>
      </c>
      <c r="D41" s="17">
        <f>SUM(M27:M38)</f>
        <v>138.06545181388233</v>
      </c>
      <c r="E41" t="s">
        <v>403</v>
      </c>
      <c r="F41" s="17">
        <f>SUM(K27:K38)</f>
        <v>-110.65121439869867</v>
      </c>
      <c r="G41" s="17" t="s">
        <v>404</v>
      </c>
      <c r="H41" s="17">
        <f>D41-B41</f>
        <v>124.35833310629049</v>
      </c>
    </row>
    <row r="42" spans="1:39" x14ac:dyDescent="0.2">
      <c r="A42" t="s">
        <v>318</v>
      </c>
      <c r="B42" s="17">
        <f>SUM(AD27:AD38)</f>
        <v>-66.135514972025589</v>
      </c>
      <c r="C42" t="s">
        <v>402</v>
      </c>
      <c r="D42" s="17">
        <f>SUM(AJ27:AJ38)</f>
        <v>66.355608917920165</v>
      </c>
      <c r="E42" t="s">
        <v>403</v>
      </c>
      <c r="F42">
        <f>SUM(AH27:AH38)</f>
        <v>-198.62663886197129</v>
      </c>
      <c r="G42" s="17" t="s">
        <v>404</v>
      </c>
      <c r="H42" s="17">
        <f>D42-B42</f>
        <v>132.49112388994575</v>
      </c>
      <c r="J42" s="17"/>
    </row>
    <row r="43" spans="1:39" x14ac:dyDescent="0.2">
      <c r="A43" t="s">
        <v>319</v>
      </c>
      <c r="B43" s="17">
        <f>SUM(U27:U38)</f>
        <v>-42.515175399619487</v>
      </c>
      <c r="C43" t="s">
        <v>402</v>
      </c>
      <c r="D43" s="17">
        <f>SUM(AA27:AA38)</f>
        <v>24.427099496786944</v>
      </c>
      <c r="E43" t="s">
        <v>403</v>
      </c>
      <c r="F43" s="17">
        <f>SUM(Y27:Y38)</f>
        <v>-109.45745029602591</v>
      </c>
      <c r="G43" s="17" t="s">
        <v>404</v>
      </c>
      <c r="H43" s="17">
        <f>D43-B43</f>
        <v>66.942274896406431</v>
      </c>
    </row>
    <row r="44" spans="1:39" x14ac:dyDescent="0.2">
      <c r="D44" s="17"/>
    </row>
    <row r="45" spans="1:39" x14ac:dyDescent="0.2">
      <c r="A45" s="10" t="s">
        <v>84</v>
      </c>
    </row>
    <row r="46" spans="1:39" x14ac:dyDescent="0.2">
      <c r="A46" s="2" t="s">
        <v>71</v>
      </c>
      <c r="B46" s="2" t="s">
        <v>72</v>
      </c>
      <c r="C46" s="2" t="s">
        <v>21</v>
      </c>
      <c r="D46" s="2" t="s">
        <v>81</v>
      </c>
      <c r="E46" s="2" t="s">
        <v>73</v>
      </c>
      <c r="F46" s="2"/>
      <c r="G46" s="2" t="s">
        <v>82</v>
      </c>
      <c r="H46" s="2" t="s">
        <v>74</v>
      </c>
      <c r="I46" s="2" t="s">
        <v>75</v>
      </c>
      <c r="J46" s="2" t="s">
        <v>76</v>
      </c>
      <c r="K46" s="2" t="s">
        <v>77</v>
      </c>
      <c r="L46" s="2"/>
      <c r="M46" s="2" t="s">
        <v>78</v>
      </c>
      <c r="N46" s="2"/>
      <c r="O46" s="2" t="s">
        <v>83</v>
      </c>
      <c r="P46" s="2" t="s">
        <v>300</v>
      </c>
      <c r="Q46" s="2" t="s">
        <v>79</v>
      </c>
      <c r="R46" s="2" t="s">
        <v>80</v>
      </c>
      <c r="T46" t="s">
        <v>68</v>
      </c>
      <c r="U46" s="2" t="s">
        <v>310</v>
      </c>
      <c r="V46" s="2" t="s">
        <v>312</v>
      </c>
      <c r="W46" s="2" t="s">
        <v>311</v>
      </c>
      <c r="X46" s="2" t="s">
        <v>313</v>
      </c>
    </row>
    <row r="47" spans="1:39" x14ac:dyDescent="0.2">
      <c r="A47" s="20">
        <v>42323.25</v>
      </c>
      <c r="B47" s="18">
        <v>27.401399999999999</v>
      </c>
      <c r="C47" s="2">
        <v>35.840000000000003</v>
      </c>
      <c r="D47" s="2">
        <v>2355.92</v>
      </c>
      <c r="E47" s="18">
        <f t="shared" ref="E47:E59" si="36">(D47/C47)*35.4</f>
        <v>2326.9968749999998</v>
      </c>
      <c r="F47" s="2"/>
      <c r="G47" s="18">
        <v>2113.0300000000002</v>
      </c>
      <c r="H47" s="18">
        <f t="shared" ref="H47:H59" si="37">(G47/C47)*35.4</f>
        <v>2087.0887834821428</v>
      </c>
      <c r="I47" s="12">
        <v>2002.24853515625</v>
      </c>
      <c r="J47" s="30">
        <v>16.476420999999998</v>
      </c>
      <c r="K47" s="31">
        <v>10.624513586422182</v>
      </c>
      <c r="L47" s="2"/>
      <c r="M47" s="15">
        <v>7.890230655670166</v>
      </c>
      <c r="N47" s="2"/>
      <c r="O47" s="18">
        <v>209.0625</v>
      </c>
      <c r="P47" s="18">
        <f t="shared" ref="P47:P59" si="38">(O47/C47)*35.4</f>
        <v>206.49588448660711</v>
      </c>
      <c r="Q47" s="18">
        <v>197.328305</v>
      </c>
      <c r="R47" s="18">
        <v>192.5154197</v>
      </c>
      <c r="S47" s="17"/>
      <c r="T47" s="17">
        <v>3.0555580000000004</v>
      </c>
      <c r="U47" s="17">
        <f>'All Experimental Diel Data'!U19</f>
        <v>396.32773730271037</v>
      </c>
      <c r="V47">
        <f>(0.251*(T47)^2*(U47/660)^(-0.5))/100</f>
        <v>3.0241234718532413E-2</v>
      </c>
      <c r="W47" s="17">
        <f>'All Experimental Diel Data'!W19</f>
        <v>465.59174605269402</v>
      </c>
      <c r="X47">
        <f>(0.251*(T47)^2*(W47/660)^(-0.5))/100</f>
        <v>2.7901279304134583E-2</v>
      </c>
    </row>
    <row r="48" spans="1:39" x14ac:dyDescent="0.2">
      <c r="A48" s="20">
        <f>42323+(8/24)</f>
        <v>42323.333333333336</v>
      </c>
      <c r="B48" s="18">
        <v>27.7819</v>
      </c>
      <c r="C48" s="2">
        <v>35.770000000000003</v>
      </c>
      <c r="D48" s="2">
        <v>2350.6999999999998</v>
      </c>
      <c r="E48" s="18">
        <f t="shared" si="36"/>
        <v>2326.3846798993563</v>
      </c>
      <c r="F48" s="2"/>
      <c r="G48" s="18">
        <v>2058.19</v>
      </c>
      <c r="H48" s="18">
        <f t="shared" si="37"/>
        <v>2036.9003634330443</v>
      </c>
      <c r="I48" s="12">
        <v>1999.3712158203125</v>
      </c>
      <c r="J48" s="30">
        <v>12.904030000000001</v>
      </c>
      <c r="K48" s="31">
        <v>10.531851687986885</v>
      </c>
      <c r="L48" s="2"/>
      <c r="M48" s="15">
        <v>7.9744410514831543</v>
      </c>
      <c r="N48" s="2"/>
      <c r="O48" s="18">
        <v>200.9375</v>
      </c>
      <c r="P48" s="18">
        <f t="shared" si="38"/>
        <v>198.85902991333518</v>
      </c>
      <c r="Q48" s="18">
        <v>196.21128200000001</v>
      </c>
      <c r="R48" s="18">
        <v>191.42564060000001</v>
      </c>
      <c r="S48" s="17"/>
      <c r="T48" s="17">
        <v>2.9166690000000002</v>
      </c>
      <c r="U48" s="17">
        <f>'All Experimental Diel Data'!U20</f>
        <v>389.08989255288748</v>
      </c>
      <c r="V48">
        <f t="shared" ref="V48:V59" si="39">(0.251*(T48)^2*(U48/660)^(-0.5))/100</f>
        <v>2.7809616898254574E-2</v>
      </c>
      <c r="W48" s="17">
        <f>'All Experimental Diel Data'!W20</f>
        <v>457.11346622901192</v>
      </c>
      <c r="X48">
        <f t="shared" ref="X48:X59" si="40">(0.251*(T48)^2*(W48/660)^(-0.5))/100</f>
        <v>2.5657123992030562E-2</v>
      </c>
    </row>
    <row r="49" spans="1:24" x14ac:dyDescent="0.2">
      <c r="A49" s="20">
        <f>42323+(10/24)</f>
        <v>42323.416666666664</v>
      </c>
      <c r="B49" s="18">
        <v>28.5549</v>
      </c>
      <c r="C49" s="2">
        <v>35.76</v>
      </c>
      <c r="D49" s="2">
        <v>2325.8000000000002</v>
      </c>
      <c r="E49" s="18">
        <f t="shared" si="36"/>
        <v>2302.3859060402688</v>
      </c>
      <c r="F49" s="2"/>
      <c r="G49" s="18">
        <v>2000.62</v>
      </c>
      <c r="H49" s="18">
        <f t="shared" si="37"/>
        <v>1980.4795302013422</v>
      </c>
      <c r="I49" s="12">
        <v>1992.7376708984375</v>
      </c>
      <c r="J49" s="30">
        <v>10.964109000000001</v>
      </c>
      <c r="K49" s="31">
        <v>10.341239425259216</v>
      </c>
      <c r="L49" s="2"/>
      <c r="M49" s="15">
        <v>8.0208406448364258</v>
      </c>
      <c r="N49" s="2"/>
      <c r="O49" s="18">
        <v>240</v>
      </c>
      <c r="P49" s="18">
        <f t="shared" si="38"/>
        <v>237.58389261744966</v>
      </c>
      <c r="Q49" s="18">
        <v>193.81992600000001</v>
      </c>
      <c r="R49" s="18">
        <v>189.09261029999999</v>
      </c>
      <c r="S49" s="17"/>
      <c r="T49" s="17">
        <v>2.7777800000000004</v>
      </c>
      <c r="U49" s="17">
        <f>'All Experimental Diel Data'!U21</f>
        <v>374.77460452352727</v>
      </c>
      <c r="V49">
        <f t="shared" si="39"/>
        <v>2.5701371863696192E-2</v>
      </c>
      <c r="W49" s="17">
        <f>'All Experimental Diel Data'!W21</f>
        <v>440.36896020039376</v>
      </c>
      <c r="X49">
        <f t="shared" si="40"/>
        <v>2.3710080730799915E-2</v>
      </c>
    </row>
    <row r="50" spans="1:24" x14ac:dyDescent="0.2">
      <c r="A50" s="20">
        <f>42323+0.5</f>
        <v>42323.5</v>
      </c>
      <c r="B50" s="18">
        <v>29.3154</v>
      </c>
      <c r="C50" s="2">
        <v>35.75</v>
      </c>
      <c r="D50" s="2">
        <v>2320.98</v>
      </c>
      <c r="E50" s="18">
        <f t="shared" si="36"/>
        <v>2298.2571188811185</v>
      </c>
      <c r="F50" s="2"/>
      <c r="G50" s="18">
        <v>1971.94</v>
      </c>
      <c r="H50" s="18">
        <f t="shared" si="37"/>
        <v>1952.6342937062936</v>
      </c>
      <c r="I50" s="12">
        <v>1986.179931640625</v>
      </c>
      <c r="J50" s="30">
        <v>9.9123859999999997</v>
      </c>
      <c r="K50" s="31">
        <v>10.159784215188049</v>
      </c>
      <c r="L50" s="2"/>
      <c r="M50" s="15">
        <v>8.0480632781982422</v>
      </c>
      <c r="N50" s="2"/>
      <c r="O50" s="18">
        <v>256.875</v>
      </c>
      <c r="P50" s="18">
        <f t="shared" si="38"/>
        <v>254.36013986013984</v>
      </c>
      <c r="Q50" s="18">
        <v>191.52227500000001</v>
      </c>
      <c r="R50" s="18">
        <v>186.8510005</v>
      </c>
      <c r="S50" s="17"/>
      <c r="T50" s="17">
        <v>2.7777800000000004</v>
      </c>
      <c r="U50" s="17">
        <f>'All Experimental Diel Data'!U22</f>
        <v>361.19160952893196</v>
      </c>
      <c r="V50">
        <f t="shared" si="39"/>
        <v>2.6180175650463898E-2</v>
      </c>
      <c r="W50" s="17">
        <f>'All Experimental Diel Data'!W22</f>
        <v>424.50690687296412</v>
      </c>
      <c r="X50">
        <f t="shared" si="40"/>
        <v>2.4148991698302851E-2</v>
      </c>
    </row>
    <row r="51" spans="1:24" x14ac:dyDescent="0.2">
      <c r="A51" s="20">
        <f>42323+(16/24)</f>
        <v>42323.666666666664</v>
      </c>
      <c r="B51" s="18">
        <v>29.503299999999999</v>
      </c>
      <c r="C51" s="2">
        <v>35.76</v>
      </c>
      <c r="D51" s="2">
        <v>2309.88</v>
      </c>
      <c r="E51" s="18">
        <f t="shared" si="36"/>
        <v>2286.6261744966446</v>
      </c>
      <c r="F51" s="2"/>
      <c r="G51" s="18">
        <v>1950.36</v>
      </c>
      <c r="H51" s="18">
        <f t="shared" si="37"/>
        <v>1930.7255033557046</v>
      </c>
      <c r="I51" s="12">
        <v>1984.48095703125</v>
      </c>
      <c r="J51" s="30">
        <v>9.3915009999999999</v>
      </c>
      <c r="K51" s="31">
        <v>10.115222163451257</v>
      </c>
      <c r="L51" s="2"/>
      <c r="M51" s="15">
        <v>8.0630588531494141</v>
      </c>
      <c r="N51" s="2"/>
      <c r="O51" s="18">
        <v>263.75</v>
      </c>
      <c r="P51" s="18">
        <f t="shared" si="38"/>
        <v>261.09479865771812</v>
      </c>
      <c r="Q51" s="18">
        <v>190.94785999999999</v>
      </c>
      <c r="R51" s="18">
        <v>186.290595</v>
      </c>
      <c r="S51" s="17"/>
      <c r="T51" s="17">
        <v>2.7777800000000004</v>
      </c>
      <c r="U51" s="17">
        <f>'All Experimental Diel Data'!U23</f>
        <v>357.91169345596961</v>
      </c>
      <c r="V51">
        <f t="shared" si="39"/>
        <v>2.6299860129313547E-2</v>
      </c>
      <c r="W51" s="17">
        <f>'All Experimental Diel Data'!W23</f>
        <v>420.67964074424049</v>
      </c>
      <c r="X51">
        <f t="shared" si="40"/>
        <v>2.4258594522323415E-2</v>
      </c>
    </row>
    <row r="52" spans="1:24" x14ac:dyDescent="0.2">
      <c r="A52" s="20">
        <f>42323+(18/24)</f>
        <v>42323.75</v>
      </c>
      <c r="B52" s="18">
        <v>28.4176</v>
      </c>
      <c r="C52" s="2">
        <v>35.76</v>
      </c>
      <c r="D52" s="2">
        <v>2324.81</v>
      </c>
      <c r="E52" s="18">
        <f t="shared" si="36"/>
        <v>2301.4058724832212</v>
      </c>
      <c r="F52" s="2"/>
      <c r="G52" s="18">
        <v>1991.08</v>
      </c>
      <c r="H52" s="18">
        <f t="shared" si="37"/>
        <v>1971.0355704697986</v>
      </c>
      <c r="I52" s="12">
        <v>1993.9285888671875</v>
      </c>
      <c r="J52" s="30">
        <v>10.511736000000001</v>
      </c>
      <c r="K52" s="31">
        <v>10.374727786776434</v>
      </c>
      <c r="L52" s="2"/>
      <c r="M52" s="15">
        <v>8.0366096496582031</v>
      </c>
      <c r="N52" s="2"/>
      <c r="O52" s="18">
        <v>228.75</v>
      </c>
      <c r="P52" s="18">
        <f t="shared" si="38"/>
        <v>226.4471476510067</v>
      </c>
      <c r="Q52" s="18">
        <v>194.24268599999999</v>
      </c>
      <c r="R52" s="18">
        <v>189.50505939999999</v>
      </c>
      <c r="S52" s="17"/>
      <c r="T52" s="17">
        <v>3.0555580000000004</v>
      </c>
      <c r="U52" s="17">
        <f>'All Experimental Diel Data'!U24</f>
        <v>377.27961032556925</v>
      </c>
      <c r="V52">
        <f t="shared" si="39"/>
        <v>3.0995245850953809E-2</v>
      </c>
      <c r="W52" s="17">
        <f>'All Experimental Diel Data'!W24</f>
        <v>443.2968547330392</v>
      </c>
      <c r="X52">
        <f t="shared" si="40"/>
        <v>2.8594297276673234E-2</v>
      </c>
    </row>
    <row r="53" spans="1:24" x14ac:dyDescent="0.2">
      <c r="A53" s="20">
        <f>42323+(22/24)</f>
        <v>42323.916666666664</v>
      </c>
      <c r="B53" s="18">
        <v>27.393699999999999</v>
      </c>
      <c r="C53" s="2">
        <v>35.75</v>
      </c>
      <c r="D53" s="2">
        <v>2353.17</v>
      </c>
      <c r="E53" s="18">
        <f t="shared" si="36"/>
        <v>2330.1319720279721</v>
      </c>
      <c r="F53" s="2"/>
      <c r="G53" s="18">
        <v>2090.2600000000002</v>
      </c>
      <c r="H53" s="18">
        <f t="shared" si="37"/>
        <v>2069.7959160839164</v>
      </c>
      <c r="I53" s="12">
        <v>2002.8345947265625</v>
      </c>
      <c r="J53" s="30">
        <v>14.836183</v>
      </c>
      <c r="K53" s="31">
        <v>10.631353461475461</v>
      </c>
      <c r="L53" s="2"/>
      <c r="M53" s="15">
        <v>7.928433895111084</v>
      </c>
      <c r="N53" s="2"/>
      <c r="O53" s="18">
        <v>170.625</v>
      </c>
      <c r="P53" s="18">
        <f t="shared" si="38"/>
        <v>168.95454545454544</v>
      </c>
      <c r="Q53" s="18">
        <v>197.46536699999999</v>
      </c>
      <c r="R53" s="18">
        <v>192.6491389</v>
      </c>
      <c r="S53" s="17"/>
      <c r="T53" s="17">
        <v>3.6111140000000002</v>
      </c>
      <c r="U53" s="17">
        <f>'All Experimental Diel Data'!U25</f>
        <v>396.47552709617696</v>
      </c>
      <c r="V53">
        <f t="shared" si="39"/>
        <v>4.2229884597660361E-2</v>
      </c>
      <c r="W53" s="17">
        <f>'All Experimental Diel Data'!W25</f>
        <v>465.76495323574034</v>
      </c>
      <c r="X53">
        <f t="shared" si="40"/>
        <v>3.8962308781060336E-2</v>
      </c>
    </row>
    <row r="54" spans="1:24" x14ac:dyDescent="0.2">
      <c r="A54" s="20">
        <f>42324</f>
        <v>42324</v>
      </c>
      <c r="B54" s="18">
        <v>27.312100000000001</v>
      </c>
      <c r="C54" s="2">
        <v>35.75</v>
      </c>
      <c r="D54" s="2">
        <v>2355.86</v>
      </c>
      <c r="E54" s="18">
        <f t="shared" si="36"/>
        <v>2332.7956363636367</v>
      </c>
      <c r="F54" s="2"/>
      <c r="G54" s="18">
        <v>2095.7600000000002</v>
      </c>
      <c r="H54" s="18">
        <f t="shared" si="37"/>
        <v>2075.2420699300701</v>
      </c>
      <c r="I54" s="12">
        <v>2003.5369873046875</v>
      </c>
      <c r="J54" s="30">
        <v>15.059975</v>
      </c>
      <c r="K54" s="31">
        <v>10.652255214851307</v>
      </c>
      <c r="L54" s="2"/>
      <c r="M54" s="15">
        <v>7.924189567565918</v>
      </c>
      <c r="N54" s="2"/>
      <c r="O54" s="18">
        <v>174.375</v>
      </c>
      <c r="P54" s="18">
        <f t="shared" si="38"/>
        <v>172.66783216783216</v>
      </c>
      <c r="Q54" s="18">
        <v>197.725674</v>
      </c>
      <c r="R54" s="18">
        <v>192.90309669999999</v>
      </c>
      <c r="S54" s="17"/>
      <c r="T54" s="17">
        <v>3.6111140000000002</v>
      </c>
      <c r="U54" s="17">
        <f>'All Experimental Diel Data'!U26</f>
        <v>398.04495689555142</v>
      </c>
      <c r="V54">
        <f t="shared" si="39"/>
        <v>4.214654941515248E-2</v>
      </c>
      <c r="W54" s="17">
        <f>'All Experimental Diel Data'!W26</f>
        <v>467.60452000766537</v>
      </c>
      <c r="X54">
        <f t="shared" si="40"/>
        <v>3.8885593954665232E-2</v>
      </c>
    </row>
    <row r="55" spans="1:24" x14ac:dyDescent="0.2">
      <c r="A55" s="20">
        <f>42324+(2/24)</f>
        <v>42324.083333333336</v>
      </c>
      <c r="B55" s="18">
        <v>27.257000000000001</v>
      </c>
      <c r="C55" s="2">
        <v>35.75</v>
      </c>
      <c r="D55" s="2">
        <v>2360.02</v>
      </c>
      <c r="E55" s="18">
        <f t="shared" si="36"/>
        <v>2336.9149090909091</v>
      </c>
      <c r="F55" s="2"/>
      <c r="G55" s="18">
        <v>2104.75</v>
      </c>
      <c r="H55" s="18">
        <f t="shared" si="37"/>
        <v>2084.1440559440557</v>
      </c>
      <c r="I55" s="12">
        <v>2004.0111083984375</v>
      </c>
      <c r="J55" s="30">
        <v>15.467644</v>
      </c>
      <c r="K55" s="31">
        <v>10.666410705276967</v>
      </c>
      <c r="L55" s="2"/>
      <c r="M55" s="15">
        <v>7.9156641960144043</v>
      </c>
      <c r="N55" s="2"/>
      <c r="O55" s="18">
        <v>172.5</v>
      </c>
      <c r="P55" s="18">
        <f t="shared" si="38"/>
        <v>170.8111888111888</v>
      </c>
      <c r="Q55" s="18">
        <v>197.90182300000001</v>
      </c>
      <c r="R55" s="18">
        <v>193.0749495</v>
      </c>
      <c r="S55" s="17"/>
      <c r="T55" s="17">
        <v>3.7500030000000004</v>
      </c>
      <c r="U55" s="17">
        <f>'All Experimental Diel Data'!U27</f>
        <v>399.10806509813324</v>
      </c>
      <c r="V55">
        <f t="shared" si="39"/>
        <v>4.5390364216149746E-2</v>
      </c>
      <c r="W55" s="17">
        <f>'All Experimental Diel Data'!W27</f>
        <v>468.85084484254151</v>
      </c>
      <c r="X55">
        <f t="shared" si="40"/>
        <v>4.1878543426802375E-2</v>
      </c>
    </row>
    <row r="56" spans="1:24" x14ac:dyDescent="0.2">
      <c r="A56" s="20">
        <f>42324+(4/24)</f>
        <v>42324.166666666664</v>
      </c>
      <c r="B56" s="18">
        <v>27.1892</v>
      </c>
      <c r="C56" s="2">
        <v>35.75</v>
      </c>
      <c r="D56" s="2">
        <v>2359.56</v>
      </c>
      <c r="E56" s="18">
        <f t="shared" si="36"/>
        <v>2336.4594125874128</v>
      </c>
      <c r="F56" s="2"/>
      <c r="G56" s="18">
        <v>2116.14</v>
      </c>
      <c r="H56" s="18">
        <f t="shared" si="37"/>
        <v>2095.4225454545453</v>
      </c>
      <c r="I56" s="12">
        <v>2004.5943603515625</v>
      </c>
      <c r="J56" s="30">
        <v>16.399994</v>
      </c>
      <c r="K56" s="31">
        <v>10.683875646559432</v>
      </c>
      <c r="L56" s="2"/>
      <c r="M56" s="15">
        <v>7.894866943359375</v>
      </c>
      <c r="N56" s="2"/>
      <c r="O56" s="18">
        <v>161.875</v>
      </c>
      <c r="P56" s="18">
        <f t="shared" si="38"/>
        <v>160.29020979020979</v>
      </c>
      <c r="Q56" s="18">
        <v>198.11899299999999</v>
      </c>
      <c r="R56" s="18">
        <v>193.28682230000001</v>
      </c>
      <c r="S56" s="17"/>
      <c r="T56" s="17">
        <v>3.8888920000000002</v>
      </c>
      <c r="U56" s="17">
        <f>'All Experimental Diel Data'!U28</f>
        <v>400.41993644915442</v>
      </c>
      <c r="V56">
        <f t="shared" si="39"/>
        <v>4.8734847089497213E-2</v>
      </c>
      <c r="W56" s="17">
        <f>'All Experimental Diel Data'!W28</f>
        <v>470.38906103865526</v>
      </c>
      <c r="X56">
        <f t="shared" si="40"/>
        <v>4.4964404610395185E-2</v>
      </c>
    </row>
    <row r="57" spans="1:24" x14ac:dyDescent="0.2">
      <c r="A57" s="20">
        <f>42324+(6/24)</f>
        <v>42324.25</v>
      </c>
      <c r="B57" s="18">
        <v>27.251799999999999</v>
      </c>
      <c r="C57" s="2">
        <v>35.74</v>
      </c>
      <c r="D57" s="2">
        <v>2357.86</v>
      </c>
      <c r="E57" s="18">
        <f t="shared" si="36"/>
        <v>2335.4293228875208</v>
      </c>
      <c r="F57" s="2"/>
      <c r="G57" s="18">
        <v>2092.7600000000002</v>
      </c>
      <c r="H57" s="18">
        <f t="shared" si="37"/>
        <v>2072.8512590934529</v>
      </c>
      <c r="I57" s="12">
        <v>2004.113525390625</v>
      </c>
      <c r="J57" s="30">
        <v>14.699607</v>
      </c>
      <c r="K57" s="31">
        <v>10.668292223098069</v>
      </c>
      <c r="L57" s="2"/>
      <c r="M57" s="15">
        <v>7.933873176574707</v>
      </c>
      <c r="N57" s="2"/>
      <c r="O57" s="18">
        <v>178.4375</v>
      </c>
      <c r="P57" s="18">
        <f t="shared" si="38"/>
        <v>176.73999720201454</v>
      </c>
      <c r="Q57" s="18">
        <v>197.93101300000001</v>
      </c>
      <c r="R57" s="18">
        <v>193.10342739999999</v>
      </c>
      <c r="S57" s="17"/>
      <c r="T57" s="17">
        <v>3.8888920000000002</v>
      </c>
      <c r="U57" s="17">
        <f>'All Experimental Diel Data'!U29</f>
        <v>399.20853484870781</v>
      </c>
      <c r="V57">
        <f t="shared" si="39"/>
        <v>4.880873422743795E-2</v>
      </c>
      <c r="W57" s="17">
        <f>'All Experimental Diel Data'!W29</f>
        <v>468.96863921541797</v>
      </c>
      <c r="X57">
        <f t="shared" si="40"/>
        <v>4.5032447681771004E-2</v>
      </c>
    </row>
    <row r="58" spans="1:24" x14ac:dyDescent="0.2">
      <c r="A58" s="20">
        <f>42324+(8/24)</f>
        <v>42324.333333333336</v>
      </c>
      <c r="B58" s="18">
        <v>27.548500000000001</v>
      </c>
      <c r="C58" s="2">
        <v>35.74</v>
      </c>
      <c r="D58" s="2">
        <v>2343.12</v>
      </c>
      <c r="E58" s="18">
        <f t="shared" si="36"/>
        <v>2320.8295467263565</v>
      </c>
      <c r="F58" s="2"/>
      <c r="G58" s="18">
        <v>2064.7600000000002</v>
      </c>
      <c r="H58" s="18">
        <f t="shared" si="37"/>
        <v>2045.1176273083379</v>
      </c>
      <c r="I58" s="12">
        <v>2001.5587158203125</v>
      </c>
      <c r="J58" s="30">
        <v>13.666397</v>
      </c>
      <c r="K58" s="31">
        <v>10.592442597319279</v>
      </c>
      <c r="L58" s="2"/>
      <c r="M58" s="15">
        <v>7.9550347328186035</v>
      </c>
      <c r="N58" s="2"/>
      <c r="O58" s="18">
        <v>197.5</v>
      </c>
      <c r="P58" s="18">
        <f t="shared" si="38"/>
        <v>195.62115277000558</v>
      </c>
      <c r="Q58" s="18">
        <v>196.98584600000001</v>
      </c>
      <c r="R58" s="18">
        <v>192.18131289999999</v>
      </c>
      <c r="S58" s="17"/>
      <c r="T58" s="17">
        <v>3.8888920000000002</v>
      </c>
      <c r="U58" s="17">
        <f>'All Experimental Diel Data'!U30</f>
        <v>393.51447171866141</v>
      </c>
      <c r="V58">
        <f t="shared" si="39"/>
        <v>4.9160591507023101E-2</v>
      </c>
      <c r="W58" s="17">
        <f>'All Experimental Diel Data'!W30</f>
        <v>462.29532698256139</v>
      </c>
      <c r="X58">
        <f t="shared" si="40"/>
        <v>4.5356308670167031E-2</v>
      </c>
    </row>
    <row r="59" spans="1:24" x14ac:dyDescent="0.2">
      <c r="A59" s="20">
        <f>42324+(10/24)</f>
        <v>42324.416666666664</v>
      </c>
      <c r="B59" s="18">
        <v>28.464200000000002</v>
      </c>
      <c r="C59" s="2">
        <v>35.74</v>
      </c>
      <c r="D59" s="2">
        <v>2322.6</v>
      </c>
      <c r="E59" s="18">
        <f t="shared" si="36"/>
        <v>2300.5047565752657</v>
      </c>
      <c r="F59" s="2"/>
      <c r="G59" s="18">
        <v>1998.67</v>
      </c>
      <c r="H59" s="18">
        <f t="shared" si="37"/>
        <v>1979.6563514269726</v>
      </c>
      <c r="I59" s="12">
        <v>1993.6414794921875</v>
      </c>
      <c r="J59" s="30">
        <v>10.975228</v>
      </c>
      <c r="K59" s="31">
        <v>10.364385115915622</v>
      </c>
      <c r="L59" s="2"/>
      <c r="M59" s="15">
        <v>8.0209197998046875</v>
      </c>
      <c r="N59" s="2"/>
      <c r="O59" s="18">
        <v>237.5</v>
      </c>
      <c r="P59" s="18">
        <f t="shared" si="38"/>
        <v>235.24062674874088</v>
      </c>
      <c r="Q59" s="18">
        <v>194.12342200000001</v>
      </c>
      <c r="R59" s="18">
        <v>189.38870399999999</v>
      </c>
      <c r="S59" s="17"/>
      <c r="T59" s="17">
        <v>3.8888920000000002</v>
      </c>
      <c r="U59" s="17">
        <f>'All Experimental Diel Data'!U31</f>
        <v>376.42758950941243</v>
      </c>
      <c r="V59">
        <f t="shared" si="39"/>
        <v>5.0263963415743164E-2</v>
      </c>
      <c r="W59" s="17">
        <f>'All Experimental Diel Data'!W31</f>
        <v>442.30089865357445</v>
      </c>
      <c r="X59">
        <f t="shared" si="40"/>
        <v>4.6370154515914315E-2</v>
      </c>
    </row>
    <row r="61" spans="1:24" x14ac:dyDescent="0.2">
      <c r="A61" s="33" t="s">
        <v>155</v>
      </c>
      <c r="B61" s="34">
        <v>400</v>
      </c>
    </row>
    <row r="62" spans="1:24" x14ac:dyDescent="0.2">
      <c r="A62" s="33" t="s">
        <v>156</v>
      </c>
      <c r="B62" s="34">
        <v>3.58</v>
      </c>
    </row>
    <row r="63" spans="1:24" x14ac:dyDescent="0.2">
      <c r="A63" s="33" t="s">
        <v>157</v>
      </c>
      <c r="B63" s="34">
        <v>1</v>
      </c>
    </row>
    <row r="64" spans="1:24" x14ac:dyDescent="0.2">
      <c r="A64" s="33" t="s">
        <v>158</v>
      </c>
      <c r="B64" s="34">
        <v>1.0249999999999999</v>
      </c>
    </row>
    <row r="65" spans="1:41" x14ac:dyDescent="0.2">
      <c r="A65" s="33" t="s">
        <v>159</v>
      </c>
      <c r="B65" s="34">
        <v>1978</v>
      </c>
    </row>
    <row r="66" spans="1:41" x14ac:dyDescent="0.2">
      <c r="A66" s="33" t="s">
        <v>160</v>
      </c>
      <c r="B66" s="34">
        <v>2332</v>
      </c>
    </row>
    <row r="67" spans="1:41" x14ac:dyDescent="0.2">
      <c r="A67" s="33" t="s">
        <v>161</v>
      </c>
      <c r="B67" s="34">
        <v>197</v>
      </c>
    </row>
    <row r="69" spans="1:41" x14ac:dyDescent="0.2">
      <c r="A69" s="1" t="s">
        <v>314</v>
      </c>
    </row>
    <row r="70" spans="1:41" x14ac:dyDescent="0.2">
      <c r="A70" t="s">
        <v>163</v>
      </c>
      <c r="B70" t="s">
        <v>71</v>
      </c>
      <c r="C70" t="s">
        <v>164</v>
      </c>
      <c r="D70" t="s">
        <v>165</v>
      </c>
      <c r="E70" t="s">
        <v>166</v>
      </c>
      <c r="F70" t="s">
        <v>315</v>
      </c>
      <c r="G70" t="s">
        <v>323</v>
      </c>
      <c r="H70" t="s">
        <v>389</v>
      </c>
      <c r="I70" t="s">
        <v>315</v>
      </c>
      <c r="J70" t="s">
        <v>390</v>
      </c>
      <c r="K70" t="s">
        <v>391</v>
      </c>
      <c r="L70" t="s">
        <v>393</v>
      </c>
      <c r="M70" t="s">
        <v>392</v>
      </c>
      <c r="N70" t="s">
        <v>168</v>
      </c>
      <c r="O70" t="s">
        <v>169</v>
      </c>
      <c r="Q70" t="s">
        <v>171</v>
      </c>
      <c r="R70" t="s">
        <v>172</v>
      </c>
      <c r="S70" t="s">
        <v>173</v>
      </c>
      <c r="T70" t="s">
        <v>315</v>
      </c>
      <c r="U70" t="s">
        <v>324</v>
      </c>
      <c r="V70" t="s">
        <v>387</v>
      </c>
      <c r="W70" t="s">
        <v>315</v>
      </c>
      <c r="X70" t="s">
        <v>394</v>
      </c>
      <c r="Y70" t="s">
        <v>395</v>
      </c>
      <c r="Z70" t="s">
        <v>396</v>
      </c>
      <c r="AA70" t="s">
        <v>397</v>
      </c>
      <c r="AB70" t="s">
        <v>174</v>
      </c>
      <c r="AC70" t="s">
        <v>315</v>
      </c>
      <c r="AD70" t="s">
        <v>325</v>
      </c>
      <c r="AE70" t="s">
        <v>388</v>
      </c>
      <c r="AF70" t="s">
        <v>315</v>
      </c>
      <c r="AG70" t="s">
        <v>398</v>
      </c>
      <c r="AH70" t="s">
        <v>399</v>
      </c>
      <c r="AI70" t="s">
        <v>400</v>
      </c>
      <c r="AJ70" t="s">
        <v>401</v>
      </c>
      <c r="AK70" t="s">
        <v>176</v>
      </c>
      <c r="AL70" t="s">
        <v>316</v>
      </c>
      <c r="AM70" t="s">
        <v>549</v>
      </c>
      <c r="AN70" t="s">
        <v>550</v>
      </c>
      <c r="AO70" t="s">
        <v>551</v>
      </c>
    </row>
    <row r="71" spans="1:41" x14ac:dyDescent="0.2">
      <c r="A71" t="s">
        <v>177</v>
      </c>
      <c r="B71" s="20">
        <v>42323.25</v>
      </c>
      <c r="C71">
        <f>(V47/$B$63)*(R47-O47)</f>
        <v>-0.50040413925870386</v>
      </c>
      <c r="D71">
        <f>(1/$B$62)*$B$67-(1/$B$62)*P47</f>
        <v>-2.652481700169588</v>
      </c>
      <c r="E71" s="17">
        <f>(P48-P47)/(B72-B71)*(1/24)-(D71+C71)</f>
        <v>-0.66554144709654395</v>
      </c>
      <c r="F71">
        <f>E71/1000*1025*$B$63</f>
        <v>-0.68217998327395757</v>
      </c>
      <c r="G71" s="17">
        <f t="shared" ref="G71:G82" si="41">($B72-$B71)*24*F71</f>
        <v>-1.3643599665876232</v>
      </c>
      <c r="H71">
        <v>4.3797313739295998</v>
      </c>
      <c r="I71">
        <f>H71/1000*1025*$B$63</f>
        <v>4.4892246582778395</v>
      </c>
      <c r="J71">
        <f>F71-I71</f>
        <v>-5.1714046415517974</v>
      </c>
      <c r="K71" s="17">
        <f>($B72-$B71)*24*J71</f>
        <v>-10.342809283404611</v>
      </c>
      <c r="L71">
        <f>F71+H71</f>
        <v>3.6975513906556423</v>
      </c>
      <c r="M71" s="17">
        <f>($B72-$B71)*24*L71</f>
        <v>7.3951027815265107</v>
      </c>
      <c r="N71">
        <f t="shared" ref="N71:N82" si="42">(1/$B$62)*$B$66-(1/$B$62)*E47</f>
        <v>1.3975209497207288</v>
      </c>
      <c r="O71" s="17">
        <f t="shared" ref="O71:O82" si="43">(E48-E47)/(B72-B71)*(1/24)-(N71)</f>
        <v>-1.703618500033558</v>
      </c>
      <c r="Q71">
        <f>(X47/$B$63)*(K47-J47)</f>
        <v>-0.16327570320817045</v>
      </c>
      <c r="R71">
        <f t="shared" ref="R71:R82" si="44">(1/$B$62)*$B$65-(1/$B$62)*H47</f>
        <v>-30.471727229648764</v>
      </c>
      <c r="S71">
        <f t="shared" ref="S71:S82" si="45">O71/2</f>
        <v>-0.85180925001677898</v>
      </c>
      <c r="T71">
        <f>S71/1000*1025*$B$63</f>
        <v>-0.87310448126719853</v>
      </c>
      <c r="U71" s="17">
        <f>($B72-$B71)*24*T71</f>
        <v>-1.7462089625852184</v>
      </c>
      <c r="V71" s="17">
        <v>2.3451305687416601</v>
      </c>
      <c r="W71">
        <f>V71/1000*1025*$B$63</f>
        <v>2.4037588329602015</v>
      </c>
      <c r="X71" s="17">
        <f>T71-W71</f>
        <v>-3.2768633142274002</v>
      </c>
      <c r="Y71" s="17">
        <f>($B72-$B71)*24*X71</f>
        <v>-6.5537266286455393</v>
      </c>
      <c r="Z71" s="17">
        <f>T71+W71</f>
        <v>1.5306543516930029</v>
      </c>
      <c r="AA71" s="17">
        <f>($B72-$B71)*24*Z71</f>
        <v>3.0613087034751016</v>
      </c>
      <c r="AB71" s="17">
        <f t="shared" ref="AB71:AB82" si="46">(H48-H47)/(B72-B71)*(1/24)-(S71+R71+Q71)</f>
        <v>6.3926021590547677</v>
      </c>
      <c r="AC71">
        <f>AB71/1000*1025*$B$63</f>
        <v>6.5524172130311369</v>
      </c>
      <c r="AD71" s="17">
        <f>($B72-$B71)*24*AC71</f>
        <v>13.104834426443675</v>
      </c>
      <c r="AE71" s="17">
        <v>4.6465629272631102</v>
      </c>
      <c r="AF71">
        <f>AE71/1000*1025*$B$63</f>
        <v>4.7627270004446878</v>
      </c>
      <c r="AG71" s="17">
        <f>AC71-AF71</f>
        <v>1.7896902125864491</v>
      </c>
      <c r="AH71" s="17">
        <f>($B72-$B71)*24*AG71</f>
        <v>3.5793804252770718</v>
      </c>
      <c r="AI71">
        <f>AC71+AF71</f>
        <v>11.315144213475826</v>
      </c>
      <c r="AJ71" s="17">
        <f>($B72-$B71)*24*AI71</f>
        <v>22.630288427610278</v>
      </c>
      <c r="AK71">
        <f t="shared" ref="AK71:AK82" si="47">F71/AC71</f>
        <v>-0.10411119455538795</v>
      </c>
      <c r="AL71">
        <f>SLOPE(F71:F80,AC71:AC80)</f>
        <v>-0.76567121113912195</v>
      </c>
      <c r="AM71">
        <f>SLOPE(J71:J80,AG71:AG80)</f>
        <v>-0.77187664298120728</v>
      </c>
      <c r="AN71">
        <f>SLOPE(L71:L80,AI71:AI80)</f>
        <v>-0.74598339343053122</v>
      </c>
      <c r="AO71">
        <f>(AN71-AM71)/2</f>
        <v>1.2946624775338034E-2</v>
      </c>
    </row>
    <row r="72" spans="1:41" x14ac:dyDescent="0.2">
      <c r="A72" t="s">
        <v>178</v>
      </c>
      <c r="B72" s="20">
        <f>42323+(8/24)</f>
        <v>42323.333333333336</v>
      </c>
      <c r="C72">
        <f t="shared" ref="C72:C82" si="48">(V48/$B$63)*(R48-O48)</f>
        <v>-0.26452116590406138</v>
      </c>
      <c r="D72">
        <f t="shared" ref="D72:D82" si="49">(1/$B$62)*$B$67-(1/$B$62)*P48</f>
        <v>-0.51928209869697639</v>
      </c>
      <c r="E72" s="17">
        <f t="shared" ref="E72:E82" si="50">(P49-P48)/(B73-B72)*(1/24)-(D72+C72)</f>
        <v>20.146234617785321</v>
      </c>
      <c r="F72">
        <f t="shared" ref="F72:F82" si="51">E72/1000*1025*$B$63</f>
        <v>20.649890483229957</v>
      </c>
      <c r="G72" s="17">
        <f t="shared" si="41"/>
        <v>41.299780964055948</v>
      </c>
      <c r="H72">
        <v>4.4074334029425</v>
      </c>
      <c r="I72">
        <f t="shared" ref="I72:I80" si="52">H72/1000*1025*$B$63</f>
        <v>4.5176192380160627</v>
      </c>
      <c r="J72">
        <f t="shared" ref="J72:J80" si="53">F72-I72</f>
        <v>16.132271245213893</v>
      </c>
      <c r="K72" s="17">
        <f t="shared" ref="K72:K80" si="54">($B73-$B72)*24*J72</f>
        <v>32.264542488549743</v>
      </c>
      <c r="L72">
        <f t="shared" ref="L72:L80" si="55">F72+H72</f>
        <v>25.057323886172455</v>
      </c>
      <c r="M72" s="17">
        <f t="shared" ref="M72:M80" si="56">($B73-$B72)*24*L72</f>
        <v>50.114647769427854</v>
      </c>
      <c r="N72">
        <f t="shared" si="42"/>
        <v>1.5685251677775796</v>
      </c>
      <c r="O72" s="17">
        <f t="shared" si="43"/>
        <v>-13.567912098019825</v>
      </c>
      <c r="Q72">
        <f t="shared" ref="Q72:Q82" si="57">(X48/$B$63)*(K48-J48)</f>
        <v>-6.0863273082526273E-2</v>
      </c>
      <c r="R72">
        <f t="shared" si="44"/>
        <v>-16.452615484090529</v>
      </c>
      <c r="S72">
        <f t="shared" si="45"/>
        <v>-6.7839560490099124</v>
      </c>
      <c r="T72">
        <f t="shared" ref="T72:T82" si="58">S72/1000*1025*$B$63</f>
        <v>-6.9535549502351603</v>
      </c>
      <c r="U72" s="17">
        <f t="shared" ref="U72:U82" si="59">($B73-$B72)*24*T72</f>
        <v>-13.907109899660821</v>
      </c>
      <c r="V72" s="17">
        <v>2.3480898896345699</v>
      </c>
      <c r="W72">
        <f t="shared" ref="W72:W80" si="60">V72/1000*1025*$B$63</f>
        <v>2.4067921368754339</v>
      </c>
      <c r="X72" s="17">
        <f t="shared" ref="X72:X80" si="61">T72-W72</f>
        <v>-9.3603470871105934</v>
      </c>
      <c r="Y72" s="17">
        <f t="shared" ref="Y72:Y80" si="62">($B73-$B72)*24*X72</f>
        <v>-18.720694173131498</v>
      </c>
      <c r="Z72" s="17">
        <f t="shared" ref="Z72:Z80" si="63">T72+W72</f>
        <v>-4.5467628133597264</v>
      </c>
      <c r="AA72" s="17">
        <f t="shared" ref="AA72:AA79" si="64">($B73-$B72)*24*Z72</f>
        <v>-9.0935256261901394</v>
      </c>
      <c r="AB72" s="17">
        <f t="shared" si="46"/>
        <v>-4.9129818113101429</v>
      </c>
      <c r="AC72">
        <f t="shared" ref="AC72:AC82" si="65">AB72/1000*1025*$B$63</f>
        <v>-5.0358063565928965</v>
      </c>
      <c r="AD72" s="17">
        <f t="shared" ref="AD72:AD82" si="66">($B73-$B72)*24*AC72</f>
        <v>-10.071612712599547</v>
      </c>
      <c r="AE72" s="17">
        <v>4.70418085342863</v>
      </c>
      <c r="AF72">
        <f t="shared" ref="AF72:AF80" si="67">AE72/1000*1025*$B$63</f>
        <v>4.821785374764346</v>
      </c>
      <c r="AG72" s="17">
        <f t="shared" ref="AG72:AG80" si="68">AC72-AF72</f>
        <v>-9.8575917313572425</v>
      </c>
      <c r="AH72" s="17">
        <f t="shared" ref="AH72:AH80" si="69">($B73-$B72)*24*AG72</f>
        <v>-19.715183461566909</v>
      </c>
      <c r="AI72">
        <f t="shared" ref="AI72:AI80" si="70">AC72+AF72</f>
        <v>-0.21402098182855056</v>
      </c>
      <c r="AJ72" s="17">
        <f t="shared" ref="AJ72:AJ80" si="71">($B73-$B72)*24*AI72</f>
        <v>-0.42804196363218577</v>
      </c>
      <c r="AK72">
        <f t="shared" si="47"/>
        <v>-4.1006124979756304</v>
      </c>
    </row>
    <row r="73" spans="1:41" x14ac:dyDescent="0.2">
      <c r="A73" t="s">
        <v>179</v>
      </c>
      <c r="B73" s="20">
        <f>42323+(10/24)</f>
        <v>42323.416666666664</v>
      </c>
      <c r="C73">
        <f t="shared" si="48"/>
        <v>-1.3083897532897977</v>
      </c>
      <c r="D73">
        <f t="shared" si="49"/>
        <v>-11.336282854036213</v>
      </c>
      <c r="E73" s="17">
        <f t="shared" si="50"/>
        <v>21.032796228426971</v>
      </c>
      <c r="F73">
        <f t="shared" si="51"/>
        <v>21.558616134137644</v>
      </c>
      <c r="G73" s="17">
        <f t="shared" si="41"/>
        <v>43.117232269530163</v>
      </c>
      <c r="H73">
        <v>4.4328143558543802</v>
      </c>
      <c r="I73">
        <f t="shared" si="52"/>
        <v>4.5436347147507394</v>
      </c>
      <c r="J73">
        <f t="shared" si="53"/>
        <v>17.014981419386906</v>
      </c>
      <c r="K73" s="17">
        <f t="shared" si="54"/>
        <v>34.029962839764217</v>
      </c>
      <c r="L73">
        <f t="shared" si="55"/>
        <v>25.991430489992023</v>
      </c>
      <c r="M73" s="17">
        <f t="shared" si="56"/>
        <v>51.982860981496948</v>
      </c>
      <c r="N73">
        <f t="shared" si="42"/>
        <v>8.2720932848411621</v>
      </c>
      <c r="O73" s="17">
        <f t="shared" si="43"/>
        <v>-10.336486864356234</v>
      </c>
      <c r="Q73">
        <f t="shared" si="57"/>
        <v>-1.4768287901863009E-2</v>
      </c>
      <c r="R73">
        <f t="shared" si="44"/>
        <v>-0.6926062014922536</v>
      </c>
      <c r="S73">
        <f t="shared" si="45"/>
        <v>-5.1682434321781168</v>
      </c>
      <c r="T73">
        <f t="shared" si="58"/>
        <v>-5.2974495179825691</v>
      </c>
      <c r="U73" s="17">
        <f t="shared" si="59"/>
        <v>-10.594899036273491</v>
      </c>
      <c r="V73" s="17">
        <v>2.3592978570411201</v>
      </c>
      <c r="W73">
        <f t="shared" si="60"/>
        <v>2.4182803034671481</v>
      </c>
      <c r="X73" s="17">
        <f t="shared" si="61"/>
        <v>-7.7157298214497168</v>
      </c>
      <c r="Y73" s="17">
        <f t="shared" si="62"/>
        <v>-15.431459643348548</v>
      </c>
      <c r="Z73" s="17">
        <f t="shared" si="63"/>
        <v>-2.8791692145154211</v>
      </c>
      <c r="AA73" s="17">
        <f t="shared" si="64"/>
        <v>-5.7583384291984316</v>
      </c>
      <c r="AB73" s="17">
        <f t="shared" si="46"/>
        <v>-8.0470003255468345</v>
      </c>
      <c r="AC73">
        <f t="shared" si="65"/>
        <v>-8.2481753336855057</v>
      </c>
      <c r="AD73" s="17">
        <f t="shared" si="66"/>
        <v>-16.496350667851118</v>
      </c>
      <c r="AE73" s="17">
        <v>4.6555784726103902</v>
      </c>
      <c r="AF73">
        <f t="shared" si="67"/>
        <v>4.7719679344256507</v>
      </c>
      <c r="AG73" s="17">
        <f t="shared" si="68"/>
        <v>-13.020143268111156</v>
      </c>
      <c r="AH73" s="17">
        <f t="shared" si="69"/>
        <v>-26.040286536980183</v>
      </c>
      <c r="AI73">
        <f t="shared" si="70"/>
        <v>-3.476207399259855</v>
      </c>
      <c r="AJ73" s="17">
        <f t="shared" si="71"/>
        <v>-6.9524147987220521</v>
      </c>
      <c r="AK73">
        <f t="shared" si="47"/>
        <v>-2.613743678082638</v>
      </c>
    </row>
    <row r="74" spans="1:41" x14ac:dyDescent="0.2">
      <c r="A74" t="s">
        <v>180</v>
      </c>
      <c r="B74" s="20">
        <f>42323+0.5</f>
        <v>42323.5</v>
      </c>
      <c r="C74">
        <f t="shared" si="48"/>
        <v>-1.8332406066579963</v>
      </c>
      <c r="D74">
        <f t="shared" si="49"/>
        <v>-16.022385435793254</v>
      </c>
      <c r="E74" s="17">
        <f t="shared" si="50"/>
        <v>19.539290741870317</v>
      </c>
      <c r="F74">
        <f t="shared" si="51"/>
        <v>20.027773010417075</v>
      </c>
      <c r="G74" s="17">
        <f t="shared" si="41"/>
        <v>80.111092040502527</v>
      </c>
      <c r="H74">
        <v>2.07147454986693</v>
      </c>
      <c r="I74">
        <f t="shared" si="52"/>
        <v>2.1232614136136032</v>
      </c>
      <c r="J74">
        <f t="shared" si="53"/>
        <v>17.904511596803474</v>
      </c>
      <c r="K74" s="17">
        <f t="shared" si="54"/>
        <v>71.618046386171713</v>
      </c>
      <c r="L74">
        <f t="shared" si="55"/>
        <v>22.099247560284006</v>
      </c>
      <c r="M74" s="17">
        <f t="shared" si="56"/>
        <v>88.396990239849671</v>
      </c>
      <c r="N74">
        <f t="shared" si="42"/>
        <v>9.4253857873970901</v>
      </c>
      <c r="O74" s="17">
        <f t="shared" si="43"/>
        <v>-12.333121883557872</v>
      </c>
      <c r="Q74">
        <f t="shared" si="57"/>
        <v>5.9744174447511414E-3</v>
      </c>
      <c r="R74">
        <f t="shared" si="44"/>
        <v>7.0853928194710534</v>
      </c>
      <c r="S74">
        <f t="shared" si="45"/>
        <v>-6.1665609417789362</v>
      </c>
      <c r="T74">
        <f t="shared" si="58"/>
        <v>-6.320724965323409</v>
      </c>
      <c r="U74" s="17">
        <f t="shared" si="59"/>
        <v>-25.282899860925721</v>
      </c>
      <c r="V74" s="17">
        <v>1.0767067572778699</v>
      </c>
      <c r="W74">
        <f t="shared" si="60"/>
        <v>1.1036244262098167</v>
      </c>
      <c r="X74" s="17">
        <f t="shared" si="61"/>
        <v>-7.4243493915332257</v>
      </c>
      <c r="Y74" s="17">
        <f t="shared" si="62"/>
        <v>-29.697397565700747</v>
      </c>
      <c r="Z74" s="17">
        <f t="shared" si="63"/>
        <v>-5.2171005391135923</v>
      </c>
      <c r="AA74" s="17">
        <f t="shared" si="64"/>
        <v>-20.868402156150694</v>
      </c>
      <c r="AB74" s="17">
        <f t="shared" si="46"/>
        <v>-6.4020038828638253</v>
      </c>
      <c r="AC74">
        <f t="shared" si="65"/>
        <v>-6.5620539799354205</v>
      </c>
      <c r="AD74" s="17">
        <f t="shared" si="66"/>
        <v>-26.248215919359719</v>
      </c>
      <c r="AE74" s="17">
        <v>2.14285868897591</v>
      </c>
      <c r="AF74">
        <f t="shared" si="67"/>
        <v>2.1964301562003077</v>
      </c>
      <c r="AG74" s="17">
        <f t="shared" si="68"/>
        <v>-8.7584841361357277</v>
      </c>
      <c r="AH74" s="17">
        <f t="shared" si="69"/>
        <v>-35.033936544033097</v>
      </c>
      <c r="AI74">
        <f t="shared" si="70"/>
        <v>-4.3656238237351133</v>
      </c>
      <c r="AJ74" s="17">
        <f t="shared" si="71"/>
        <v>-17.462495294686342</v>
      </c>
      <c r="AK74">
        <f t="shared" si="47"/>
        <v>-3.0520585584415105</v>
      </c>
    </row>
    <row r="75" spans="1:41" x14ac:dyDescent="0.2">
      <c r="A75" t="s">
        <v>182</v>
      </c>
      <c r="B75" s="20">
        <f>42323+(16/24)</f>
        <v>42323.666666666664</v>
      </c>
      <c r="C75">
        <f t="shared" si="48"/>
        <v>-2.0371715171998503</v>
      </c>
      <c r="D75">
        <f t="shared" si="49"/>
        <v>-17.903575044055344</v>
      </c>
      <c r="E75" s="17">
        <f t="shared" si="50"/>
        <v>2.6169210584036797</v>
      </c>
      <c r="F75">
        <f t="shared" si="51"/>
        <v>2.6823440848637716</v>
      </c>
      <c r="G75" s="17">
        <f t="shared" si="41"/>
        <v>5.3646881698836761</v>
      </c>
      <c r="H75">
        <v>4.4047362722475398</v>
      </c>
      <c r="I75">
        <f t="shared" si="52"/>
        <v>4.5148546790537285</v>
      </c>
      <c r="J75">
        <f t="shared" si="53"/>
        <v>-1.8325105941899569</v>
      </c>
      <c r="K75" s="17">
        <f t="shared" si="54"/>
        <v>-3.66502118848658</v>
      </c>
      <c r="L75">
        <f t="shared" si="55"/>
        <v>7.0870803571113115</v>
      </c>
      <c r="M75" s="17">
        <f t="shared" si="56"/>
        <v>14.174160714635144</v>
      </c>
      <c r="N75">
        <f t="shared" si="42"/>
        <v>12.674252933898174</v>
      </c>
      <c r="O75" s="17">
        <f t="shared" si="43"/>
        <v>-5.2844039408249506</v>
      </c>
      <c r="Q75">
        <f t="shared" si="57"/>
        <v>1.7556458251388199E-2</v>
      </c>
      <c r="R75">
        <f t="shared" si="44"/>
        <v>13.205166660417717</v>
      </c>
      <c r="S75">
        <f t="shared" si="45"/>
        <v>-2.6422019704124753</v>
      </c>
      <c r="T75">
        <f t="shared" si="58"/>
        <v>-2.7082570196727875</v>
      </c>
      <c r="U75" s="17">
        <f t="shared" si="59"/>
        <v>-5.4165140395032161</v>
      </c>
      <c r="V75" s="17">
        <v>2.33001717926656</v>
      </c>
      <c r="W75">
        <f t="shared" si="60"/>
        <v>2.3882676087482242</v>
      </c>
      <c r="X75" s="17">
        <f t="shared" si="61"/>
        <v>-5.0965246284210117</v>
      </c>
      <c r="Y75" s="17">
        <f t="shared" si="62"/>
        <v>-10.19304925713868</v>
      </c>
      <c r="Z75" s="17">
        <f t="shared" si="63"/>
        <v>-0.31998941092456334</v>
      </c>
      <c r="AA75" s="17">
        <f t="shared" si="64"/>
        <v>-0.63997882186775257</v>
      </c>
      <c r="AB75" s="17">
        <f t="shared" si="46"/>
        <v>9.5745124082037592</v>
      </c>
      <c r="AC75">
        <f t="shared" si="65"/>
        <v>9.8138752184088531</v>
      </c>
      <c r="AD75" s="17">
        <f t="shared" si="66"/>
        <v>19.627750437388951</v>
      </c>
      <c r="AE75" s="17">
        <v>4.68721138154676</v>
      </c>
      <c r="AF75">
        <f t="shared" si="67"/>
        <v>4.8043916660854284</v>
      </c>
      <c r="AG75" s="17">
        <f t="shared" si="68"/>
        <v>5.0094835523234247</v>
      </c>
      <c r="AH75" s="17">
        <f t="shared" si="69"/>
        <v>10.01896710493844</v>
      </c>
      <c r="AI75">
        <f t="shared" si="70"/>
        <v>14.618266884494282</v>
      </c>
      <c r="AJ75" s="17">
        <f t="shared" si="71"/>
        <v>29.236533769839461</v>
      </c>
      <c r="AK75">
        <f t="shared" si="47"/>
        <v>0.27332160081190299</v>
      </c>
    </row>
    <row r="76" spans="1:41" x14ac:dyDescent="0.2">
      <c r="A76" t="s">
        <v>183</v>
      </c>
      <c r="B76" s="20">
        <f>42323+(18/24)</f>
        <v>42323.75</v>
      </c>
      <c r="C76">
        <f t="shared" si="48"/>
        <v>-1.216406582303079</v>
      </c>
      <c r="D76">
        <f t="shared" si="49"/>
        <v>-8.225460237711367</v>
      </c>
      <c r="E76" s="17">
        <f t="shared" si="50"/>
        <v>-4.9312837293100262</v>
      </c>
      <c r="F76">
        <f t="shared" si="51"/>
        <v>-5.0545658225427772</v>
      </c>
      <c r="G76" s="17">
        <f t="shared" si="41"/>
        <v>-20.218263289876894</v>
      </c>
      <c r="H76">
        <v>2.0042611040274099</v>
      </c>
      <c r="I76">
        <f t="shared" si="52"/>
        <v>2.0543676316280952</v>
      </c>
      <c r="J76">
        <f t="shared" si="53"/>
        <v>-7.108933454170872</v>
      </c>
      <c r="K76" s="17">
        <f t="shared" si="54"/>
        <v>-28.435733816269693</v>
      </c>
      <c r="L76">
        <f t="shared" si="55"/>
        <v>-3.0503047185153673</v>
      </c>
      <c r="M76" s="17">
        <f t="shared" si="56"/>
        <v>-12.201218873883919</v>
      </c>
      <c r="N76">
        <f t="shared" si="42"/>
        <v>8.5458456750778851</v>
      </c>
      <c r="O76" s="17">
        <f t="shared" si="43"/>
        <v>-1.3643207887856494</v>
      </c>
      <c r="Q76">
        <f t="shared" si="57"/>
        <v>-3.917653578260496E-3</v>
      </c>
      <c r="R76">
        <f t="shared" si="44"/>
        <v>1.9453713771512184</v>
      </c>
      <c r="S76">
        <f t="shared" si="45"/>
        <v>-0.68216039439282472</v>
      </c>
      <c r="T76">
        <f t="shared" si="58"/>
        <v>-0.69921440425264536</v>
      </c>
      <c r="U76" s="17">
        <f t="shared" si="59"/>
        <v>-2.796857616969882</v>
      </c>
      <c r="V76" s="17">
        <v>1.0778119648723801</v>
      </c>
      <c r="W76">
        <f t="shared" si="60"/>
        <v>1.1047572639941896</v>
      </c>
      <c r="X76" s="17">
        <f t="shared" si="61"/>
        <v>-1.803971668246835</v>
      </c>
      <c r="Y76" s="17">
        <f t="shared" si="62"/>
        <v>-7.215886672882335</v>
      </c>
      <c r="Z76" s="17">
        <f t="shared" si="63"/>
        <v>0.40554285974154425</v>
      </c>
      <c r="AA76" s="17">
        <f t="shared" si="64"/>
        <v>1.6221714389425712</v>
      </c>
      <c r="AB76" s="17">
        <f t="shared" si="46"/>
        <v>23.430793074708603</v>
      </c>
      <c r="AC76">
        <f t="shared" si="65"/>
        <v>24.016562901576318</v>
      </c>
      <c r="AD76" s="17">
        <f t="shared" si="66"/>
        <v>96.066251604907322</v>
      </c>
      <c r="AE76" s="17">
        <v>2.1387658650499599</v>
      </c>
      <c r="AF76">
        <f t="shared" si="67"/>
        <v>2.192235011676209</v>
      </c>
      <c r="AG76" s="17">
        <f t="shared" si="68"/>
        <v>21.824327889900108</v>
      </c>
      <c r="AH76" s="17">
        <f t="shared" si="69"/>
        <v>87.297311558330094</v>
      </c>
      <c r="AI76">
        <f t="shared" si="70"/>
        <v>26.208797913252528</v>
      </c>
      <c r="AJ76" s="17">
        <f t="shared" si="71"/>
        <v>104.83519165148456</v>
      </c>
      <c r="AK76">
        <f t="shared" si="47"/>
        <v>-0.21046166527896557</v>
      </c>
    </row>
    <row r="77" spans="1:41" x14ac:dyDescent="0.2">
      <c r="A77" t="s">
        <v>185</v>
      </c>
      <c r="B77" s="20">
        <f>42323+(22/24)</f>
        <v>42323.916666666664</v>
      </c>
      <c r="C77">
        <f t="shared" si="48"/>
        <v>0.93007684410984226</v>
      </c>
      <c r="D77">
        <f t="shared" si="49"/>
        <v>7.8339258506856311</v>
      </c>
      <c r="E77" s="17">
        <f t="shared" si="50"/>
        <v>-6.9073593382061489</v>
      </c>
      <c r="F77">
        <f t="shared" si="51"/>
        <v>-7.0800433216613028</v>
      </c>
      <c r="G77" s="17">
        <f t="shared" si="41"/>
        <v>-14.160086643734719</v>
      </c>
      <c r="H77">
        <v>4.3508795147452597</v>
      </c>
      <c r="I77">
        <f t="shared" si="52"/>
        <v>4.459651502613891</v>
      </c>
      <c r="J77">
        <f t="shared" si="53"/>
        <v>-11.539694824275195</v>
      </c>
      <c r="K77" s="17">
        <f t="shared" si="54"/>
        <v>-23.079389649222087</v>
      </c>
      <c r="L77">
        <f t="shared" si="55"/>
        <v>-2.7291638069160431</v>
      </c>
      <c r="M77" s="17">
        <f t="shared" si="56"/>
        <v>-5.458327613990944</v>
      </c>
      <c r="N77">
        <f t="shared" si="42"/>
        <v>0.52179552291283926</v>
      </c>
      <c r="O77" s="17">
        <f t="shared" si="43"/>
        <v>0.81003664488071658</v>
      </c>
      <c r="Q77">
        <f t="shared" si="57"/>
        <v>-0.16382986685171652</v>
      </c>
      <c r="R77">
        <f t="shared" si="44"/>
        <v>-25.641317341876061</v>
      </c>
      <c r="S77">
        <f t="shared" si="45"/>
        <v>0.40501832244035829</v>
      </c>
      <c r="T77">
        <f t="shared" si="58"/>
        <v>0.41514378050136724</v>
      </c>
      <c r="U77" s="17">
        <f t="shared" si="59"/>
        <v>0.83028756102689905</v>
      </c>
      <c r="V77" s="17">
        <v>2.3512407366320098</v>
      </c>
      <c r="W77">
        <f t="shared" si="60"/>
        <v>2.41002175504781</v>
      </c>
      <c r="X77" s="17">
        <f t="shared" si="61"/>
        <v>-1.9948779745464429</v>
      </c>
      <c r="Y77" s="17">
        <f t="shared" si="62"/>
        <v>-3.9897559492090031</v>
      </c>
      <c r="Z77" s="17">
        <f t="shared" si="63"/>
        <v>2.8251655355491772</v>
      </c>
      <c r="AA77" s="17">
        <f t="shared" si="64"/>
        <v>5.6503310712628005</v>
      </c>
      <c r="AB77" s="17">
        <f t="shared" si="46"/>
        <v>28.123205809285025</v>
      </c>
      <c r="AC77">
        <f t="shared" si="65"/>
        <v>28.82628595451715</v>
      </c>
      <c r="AD77" s="17">
        <f t="shared" si="66"/>
        <v>57.652571910712211</v>
      </c>
      <c r="AE77" s="17">
        <v>4.5928120106747103</v>
      </c>
      <c r="AF77">
        <f t="shared" si="67"/>
        <v>4.7076323109415776</v>
      </c>
      <c r="AG77" s="17">
        <f t="shared" si="68"/>
        <v>24.118653643575573</v>
      </c>
      <c r="AH77" s="17">
        <f t="shared" si="69"/>
        <v>48.237307288555037</v>
      </c>
      <c r="AI77">
        <f t="shared" si="70"/>
        <v>33.53391826545873</v>
      </c>
      <c r="AJ77" s="17">
        <f t="shared" si="71"/>
        <v>67.067836532869393</v>
      </c>
      <c r="AK77">
        <f t="shared" si="47"/>
        <v>-0.24561066704300291</v>
      </c>
    </row>
    <row r="78" spans="1:41" x14ac:dyDescent="0.2">
      <c r="A78" t="s">
        <v>186</v>
      </c>
      <c r="B78" s="20">
        <f>42324</f>
        <v>42324</v>
      </c>
      <c r="C78">
        <f t="shared" si="48"/>
        <v>0.78089534313527331</v>
      </c>
      <c r="D78">
        <f t="shared" si="49"/>
        <v>6.7966949251865429</v>
      </c>
      <c r="E78" s="17">
        <f t="shared" si="50"/>
        <v>-8.5059119466164788</v>
      </c>
      <c r="F78">
        <f t="shared" si="51"/>
        <v>-8.7185597452818921</v>
      </c>
      <c r="G78" s="17">
        <f t="shared" si="41"/>
        <v>-17.437119491071272</v>
      </c>
      <c r="H78">
        <v>4.34758778977546</v>
      </c>
      <c r="I78">
        <f t="shared" si="52"/>
        <v>4.4562774845198465</v>
      </c>
      <c r="J78">
        <f t="shared" si="53"/>
        <v>-13.174837229801739</v>
      </c>
      <c r="K78" s="17">
        <f t="shared" si="54"/>
        <v>-26.349674460370355</v>
      </c>
      <c r="L78">
        <f t="shared" si="55"/>
        <v>-4.3709719555064321</v>
      </c>
      <c r="M78" s="17">
        <f t="shared" si="56"/>
        <v>-8.7419439112672883</v>
      </c>
      <c r="N78">
        <f t="shared" si="42"/>
        <v>-0.22224479431190503</v>
      </c>
      <c r="O78" s="17">
        <f t="shared" si="43"/>
        <v>2.2818811578881348</v>
      </c>
      <c r="Q78">
        <f t="shared" si="57"/>
        <v>-0.17139680183123635</v>
      </c>
      <c r="R78">
        <f t="shared" si="44"/>
        <v>-27.162589365941358</v>
      </c>
      <c r="S78">
        <f t="shared" si="45"/>
        <v>1.1409405789440674</v>
      </c>
      <c r="T78">
        <f t="shared" si="58"/>
        <v>1.169464093417669</v>
      </c>
      <c r="U78" s="17">
        <f t="shared" si="59"/>
        <v>2.3389281869034098</v>
      </c>
      <c r="V78" s="17">
        <v>2.3919335766645702</v>
      </c>
      <c r="W78">
        <f t="shared" si="60"/>
        <v>2.4517319160811843</v>
      </c>
      <c r="X78" s="17">
        <f t="shared" si="61"/>
        <v>-1.2822678226635154</v>
      </c>
      <c r="Y78" s="17">
        <f t="shared" si="62"/>
        <v>-2.5645356454016683</v>
      </c>
      <c r="Z78" s="17">
        <f t="shared" si="63"/>
        <v>3.6211960094988536</v>
      </c>
      <c r="AA78" s="17">
        <f t="shared" si="64"/>
        <v>7.2423920192084887</v>
      </c>
      <c r="AB78" s="17">
        <f t="shared" si="46"/>
        <v>30.644038595691789</v>
      </c>
      <c r="AC78">
        <f t="shared" si="65"/>
        <v>31.410139560584085</v>
      </c>
      <c r="AD78" s="17">
        <f t="shared" si="66"/>
        <v>62.820279122996482</v>
      </c>
      <c r="AE78" s="17">
        <v>4.6697256579049196</v>
      </c>
      <c r="AF78">
        <f t="shared" si="67"/>
        <v>4.7864687993525425</v>
      </c>
      <c r="AG78" s="17">
        <f t="shared" si="68"/>
        <v>26.623670761231544</v>
      </c>
      <c r="AH78" s="17">
        <f t="shared" si="69"/>
        <v>53.247341524012789</v>
      </c>
      <c r="AI78">
        <f t="shared" si="70"/>
        <v>36.196608359936626</v>
      </c>
      <c r="AJ78" s="17">
        <f t="shared" si="71"/>
        <v>72.393216721980167</v>
      </c>
      <c r="AK78">
        <f t="shared" si="47"/>
        <v>-0.27757150612035569</v>
      </c>
    </row>
    <row r="79" spans="1:41" x14ac:dyDescent="0.2">
      <c r="A79" t="s">
        <v>187</v>
      </c>
      <c r="B79" s="20">
        <f>42324+(2/24)</f>
        <v>42324.083333333336</v>
      </c>
      <c r="C79">
        <f t="shared" si="48"/>
        <v>0.93390445153388824</v>
      </c>
      <c r="D79">
        <f t="shared" si="49"/>
        <v>7.315310387936087</v>
      </c>
      <c r="E79" s="17">
        <f t="shared" si="50"/>
        <v>-13.509704350265682</v>
      </c>
      <c r="F79">
        <f t="shared" si="51"/>
        <v>-13.847446959022324</v>
      </c>
      <c r="G79" s="17">
        <f t="shared" si="41"/>
        <v>-27.694893916432594</v>
      </c>
      <c r="H79">
        <v>4.3539807976921399</v>
      </c>
      <c r="I79">
        <f t="shared" si="52"/>
        <v>4.4628303176344435</v>
      </c>
      <c r="J79">
        <f t="shared" si="53"/>
        <v>-18.31027727665677</v>
      </c>
      <c r="K79" s="17">
        <f t="shared" si="54"/>
        <v>-36.620554551181939</v>
      </c>
      <c r="L79">
        <f t="shared" si="55"/>
        <v>-9.4934661613301845</v>
      </c>
      <c r="M79" s="17">
        <f t="shared" si="56"/>
        <v>-18.986932321555184</v>
      </c>
      <c r="N79">
        <f t="shared" si="42"/>
        <v>-1.3728796343320937</v>
      </c>
      <c r="O79" s="17">
        <f t="shared" si="43"/>
        <v>1.1451313825706839</v>
      </c>
      <c r="Q79">
        <f t="shared" si="57"/>
        <v>-0.20106865703526799</v>
      </c>
      <c r="R79">
        <f t="shared" si="44"/>
        <v>-29.649177638004403</v>
      </c>
      <c r="S79">
        <f t="shared" si="45"/>
        <v>0.57256569128534196</v>
      </c>
      <c r="T79">
        <f t="shared" si="58"/>
        <v>0.58687983356747553</v>
      </c>
      <c r="U79" s="17">
        <f t="shared" si="59"/>
        <v>1.1737596670666293</v>
      </c>
      <c r="V79" s="17">
        <v>2.3609904908716102</v>
      </c>
      <c r="W79">
        <f t="shared" si="60"/>
        <v>2.4200152531434003</v>
      </c>
      <c r="X79" s="17">
        <f t="shared" si="61"/>
        <v>-1.8331354195759246</v>
      </c>
      <c r="Y79" s="17">
        <f t="shared" si="62"/>
        <v>-3.6662708389384444</v>
      </c>
      <c r="Z79" s="17">
        <f t="shared" si="63"/>
        <v>3.0068950867108759</v>
      </c>
      <c r="AA79" s="17">
        <f t="shared" si="64"/>
        <v>6.0137901730717029</v>
      </c>
      <c r="AB79" s="17">
        <f t="shared" si="46"/>
        <v>34.916925359327394</v>
      </c>
      <c r="AC79">
        <f t="shared" si="65"/>
        <v>35.789848493310579</v>
      </c>
      <c r="AD79" s="17">
        <f t="shared" si="66"/>
        <v>71.579696982454678</v>
      </c>
      <c r="AE79" s="17">
        <v>4.6531509684167904</v>
      </c>
      <c r="AF79">
        <f t="shared" si="67"/>
        <v>4.76947974262721</v>
      </c>
      <c r="AG79" s="17">
        <f t="shared" si="68"/>
        <v>31.020368750683367</v>
      </c>
      <c r="AH79" s="17">
        <f t="shared" si="69"/>
        <v>62.040737497755487</v>
      </c>
      <c r="AI79">
        <f t="shared" si="70"/>
        <v>40.559328235937791</v>
      </c>
      <c r="AJ79" s="17">
        <f t="shared" si="71"/>
        <v>81.118656467153855</v>
      </c>
      <c r="AK79">
        <f t="shared" si="47"/>
        <v>-0.38690990719367052</v>
      </c>
    </row>
    <row r="80" spans="1:41" x14ac:dyDescent="0.2">
      <c r="A80" t="s">
        <v>188</v>
      </c>
      <c r="B80" s="20">
        <f>42324+(4/24)</f>
        <v>42324.166666666664</v>
      </c>
      <c r="C80">
        <f t="shared" si="48"/>
        <v>1.5308503565929592</v>
      </c>
      <c r="D80">
        <f t="shared" si="49"/>
        <v>10.254131343516818</v>
      </c>
      <c r="E80" s="17">
        <f t="shared" si="50"/>
        <v>-3.5600879944467785</v>
      </c>
      <c r="F80">
        <f t="shared" si="51"/>
        <v>-3.6490901943079477</v>
      </c>
      <c r="G80" s="17">
        <f t="shared" si="41"/>
        <v>-7.2981803888283006</v>
      </c>
      <c r="H80">
        <v>4.3447326364654097</v>
      </c>
      <c r="I80">
        <f t="shared" si="52"/>
        <v>4.4533509523770451</v>
      </c>
      <c r="J80">
        <f t="shared" si="53"/>
        <v>-8.1024411466849919</v>
      </c>
      <c r="K80" s="17">
        <f t="shared" si="54"/>
        <v>-16.204882293841607</v>
      </c>
      <c r="L80">
        <f t="shared" si="55"/>
        <v>0.69564244215746207</v>
      </c>
      <c r="M80" s="17">
        <f t="shared" si="56"/>
        <v>1.3912848843554158</v>
      </c>
      <c r="N80">
        <f t="shared" si="42"/>
        <v>-1.2456459741376875</v>
      </c>
      <c r="O80" s="17">
        <f t="shared" si="43"/>
        <v>0.73060112420669743</v>
      </c>
      <c r="Q80">
        <f t="shared" si="57"/>
        <v>-0.25702185844500758</v>
      </c>
      <c r="R80">
        <f t="shared" si="44"/>
        <v>-32.799593702386915</v>
      </c>
      <c r="S80">
        <f t="shared" si="45"/>
        <v>0.36530056210334871</v>
      </c>
      <c r="T80">
        <f t="shared" si="58"/>
        <v>0.37443307615593241</v>
      </c>
      <c r="U80" s="17">
        <f t="shared" si="59"/>
        <v>0.74886615233365972</v>
      </c>
      <c r="V80" s="17">
        <v>2.3316949395480999</v>
      </c>
      <c r="W80">
        <f t="shared" si="60"/>
        <v>2.3899873130368023</v>
      </c>
      <c r="X80" s="17">
        <f t="shared" si="61"/>
        <v>-2.0155542368808699</v>
      </c>
      <c r="Y80" s="17">
        <f t="shared" si="62"/>
        <v>-4.0311084738790601</v>
      </c>
      <c r="Z80" s="17">
        <f t="shared" si="63"/>
        <v>2.7644203891927348</v>
      </c>
      <c r="AA80" s="17">
        <f>($B81-$B80)*24*Z80</f>
        <v>5.52884077854638</v>
      </c>
      <c r="AB80" s="17">
        <f t="shared" si="46"/>
        <v>21.405671818510797</v>
      </c>
      <c r="AC80">
        <f t="shared" si="65"/>
        <v>21.940813613973567</v>
      </c>
      <c r="AD80" s="17">
        <f t="shared" si="66"/>
        <v>43.881627229224257</v>
      </c>
      <c r="AE80" s="17">
        <v>4.6065231393927002</v>
      </c>
      <c r="AF80">
        <f t="shared" si="67"/>
        <v>4.7216862178775179</v>
      </c>
      <c r="AG80" s="17">
        <f t="shared" si="68"/>
        <v>17.219127396096049</v>
      </c>
      <c r="AH80" s="17">
        <f t="shared" si="69"/>
        <v>34.438254793194382</v>
      </c>
      <c r="AI80">
        <f t="shared" si="70"/>
        <v>26.662499831851086</v>
      </c>
      <c r="AJ80" s="17">
        <f t="shared" si="71"/>
        <v>53.324999665254133</v>
      </c>
      <c r="AK80">
        <f t="shared" si="47"/>
        <v>-0.16631517219506989</v>
      </c>
    </row>
    <row r="81" spans="1:37" x14ac:dyDescent="0.2">
      <c r="A81" t="s">
        <v>189</v>
      </c>
      <c r="B81" s="20">
        <f>42324+(6/24)</f>
        <v>42324.25</v>
      </c>
      <c r="C81">
        <f t="shared" si="48"/>
        <v>0.7158253526654994</v>
      </c>
      <c r="D81">
        <f t="shared" si="49"/>
        <v>5.6592186586551563</v>
      </c>
      <c r="E81" s="17">
        <f t="shared" si="50"/>
        <v>3.0655337724001086</v>
      </c>
      <c r="F81">
        <f t="shared" si="51"/>
        <v>3.1421721167101113</v>
      </c>
      <c r="G81" s="17">
        <f t="shared" si="41"/>
        <v>6.2843442336031208</v>
      </c>
      <c r="N81">
        <f t="shared" si="42"/>
        <v>-0.95791142109521843</v>
      </c>
      <c r="O81" s="17">
        <f t="shared" si="43"/>
        <v>-6.3419766592744766</v>
      </c>
      <c r="Q81">
        <f t="shared" si="57"/>
        <v>-0.18153997177958656</v>
      </c>
      <c r="R81">
        <f t="shared" si="44"/>
        <v>-26.494765109903028</v>
      </c>
      <c r="S81">
        <f t="shared" si="45"/>
        <v>-3.1709883296372383</v>
      </c>
      <c r="T81">
        <f t="shared" si="58"/>
        <v>-3.2502630378781689</v>
      </c>
      <c r="U81" s="17">
        <f t="shared" si="59"/>
        <v>-6.5005260759455279</v>
      </c>
      <c r="V81" s="17"/>
      <c r="W81" s="17"/>
      <c r="X81" s="17"/>
      <c r="Y81" s="17"/>
      <c r="Z81" s="17"/>
      <c r="AA81" s="17"/>
      <c r="AB81" s="17">
        <f t="shared" si="46"/>
        <v>15.980477519165934</v>
      </c>
      <c r="AC81">
        <f t="shared" si="65"/>
        <v>16.379989457145079</v>
      </c>
      <c r="AD81" s="17">
        <f t="shared" si="66"/>
        <v>32.7599789152436</v>
      </c>
      <c r="AE81" s="17"/>
      <c r="AF81" s="17"/>
      <c r="AG81" s="17"/>
      <c r="AK81">
        <f t="shared" si="47"/>
        <v>0.19182992302473501</v>
      </c>
    </row>
    <row r="82" spans="1:37" x14ac:dyDescent="0.2">
      <c r="A82" t="s">
        <v>196</v>
      </c>
      <c r="B82" s="20">
        <f>42324+(8/24)</f>
        <v>42324.333333333336</v>
      </c>
      <c r="C82">
        <f t="shared" si="48"/>
        <v>-0.2614698038767736</v>
      </c>
      <c r="D82">
        <f t="shared" si="49"/>
        <v>0.38515285754034068</v>
      </c>
      <c r="E82" s="17">
        <f t="shared" si="50"/>
        <v>19.68605393685716</v>
      </c>
      <c r="F82">
        <f t="shared" si="51"/>
        <v>20.17820528527859</v>
      </c>
      <c r="G82" s="17">
        <f t="shared" si="41"/>
        <v>40.356410568208126</v>
      </c>
      <c r="N82">
        <f t="shared" si="42"/>
        <v>3.12023834459319</v>
      </c>
      <c r="O82" s="17">
        <f t="shared" si="43"/>
        <v>-13.282633420730138</v>
      </c>
      <c r="Q82">
        <f t="shared" si="57"/>
        <v>-0.13942322472600571</v>
      </c>
      <c r="R82">
        <f t="shared" si="44"/>
        <v>-18.74794058892121</v>
      </c>
      <c r="S82">
        <f t="shared" si="45"/>
        <v>-6.6413167103650688</v>
      </c>
      <c r="T82">
        <f t="shared" si="58"/>
        <v>-6.8073496281241948</v>
      </c>
      <c r="U82" s="17">
        <f t="shared" si="59"/>
        <v>-13.614699255455911</v>
      </c>
      <c r="V82" s="17"/>
      <c r="W82" s="17"/>
      <c r="X82" s="17"/>
      <c r="Y82" s="17"/>
      <c r="Z82" s="17"/>
      <c r="AA82" s="17"/>
      <c r="AB82" s="17">
        <f t="shared" si="46"/>
        <v>-7.2019574185755282</v>
      </c>
      <c r="AC82">
        <f t="shared" si="65"/>
        <v>-7.382006354039917</v>
      </c>
      <c r="AD82" s="17">
        <f t="shared" si="66"/>
        <v>-14.764012707220456</v>
      </c>
      <c r="AE82" s="17"/>
      <c r="AF82" s="17"/>
      <c r="AG82" s="17"/>
      <c r="AK82">
        <f t="shared" si="47"/>
        <v>-2.7334310372458237</v>
      </c>
    </row>
    <row r="83" spans="1:37" x14ac:dyDescent="0.2">
      <c r="A83" t="s">
        <v>197</v>
      </c>
      <c r="B83" s="20">
        <f>42324+(10/24)</f>
        <v>42324.416666666664</v>
      </c>
    </row>
    <row r="85" spans="1:37" x14ac:dyDescent="0.2">
      <c r="A85" t="s">
        <v>320</v>
      </c>
      <c r="B85" s="17">
        <f>SUM(G71:G80)</f>
        <v>81.719889747440902</v>
      </c>
      <c r="C85" t="s">
        <v>402</v>
      </c>
      <c r="D85" s="17">
        <f>SUM(M71:M80)</f>
        <v>168.06662465059421</v>
      </c>
      <c r="E85" t="s">
        <v>403</v>
      </c>
      <c r="F85" s="17">
        <f>SUM(K71:K80)</f>
        <v>-6.785513528291176</v>
      </c>
      <c r="G85" s="17" t="s">
        <v>404</v>
      </c>
      <c r="H85" s="17">
        <f>D85-B85</f>
        <v>86.346734903153305</v>
      </c>
    </row>
    <row r="86" spans="1:37" x14ac:dyDescent="0.2">
      <c r="A86" t="s">
        <v>321</v>
      </c>
      <c r="B86" s="17">
        <f>SUM(AD71:AD80)</f>
        <v>311.91683241431718</v>
      </c>
      <c r="C86" t="s">
        <v>402</v>
      </c>
      <c r="D86" s="17">
        <f>SUM(AJ71:AJ80)</f>
        <v>405.76377117915132</v>
      </c>
      <c r="E86" t="s">
        <v>403</v>
      </c>
      <c r="F86" s="17">
        <f>SUM(AH71:AH80)</f>
        <v>218.06989364948311</v>
      </c>
      <c r="G86" s="17" t="s">
        <v>404</v>
      </c>
      <c r="H86" s="17">
        <f>D86-B86</f>
        <v>93.846938764834135</v>
      </c>
    </row>
    <row r="87" spans="1:37" x14ac:dyDescent="0.2">
      <c r="A87" t="s">
        <v>322</v>
      </c>
      <c r="B87" s="17">
        <f>SUM(U71:U80)</f>
        <v>-54.652647848587748</v>
      </c>
      <c r="C87" t="s">
        <v>402</v>
      </c>
      <c r="D87" s="17">
        <f>SUM(AA71:AA80)</f>
        <v>-7.2414108488999673</v>
      </c>
      <c r="E87" t="s">
        <v>403</v>
      </c>
      <c r="F87" s="17">
        <f>SUM(Y71:Y80)</f>
        <v>-102.06388484827552</v>
      </c>
      <c r="G87" s="17" t="s">
        <v>404</v>
      </c>
      <c r="H87" s="17">
        <f>D87-B87</f>
        <v>47.41123699968778</v>
      </c>
    </row>
    <row r="90" spans="1:37" x14ac:dyDescent="0.2">
      <c r="A90" s="10" t="s">
        <v>85</v>
      </c>
    </row>
    <row r="91" spans="1:37" x14ac:dyDescent="0.2">
      <c r="A91" t="s">
        <v>71</v>
      </c>
      <c r="B91" t="s">
        <v>72</v>
      </c>
      <c r="C91" t="s">
        <v>21</v>
      </c>
      <c r="D91" t="s">
        <v>81</v>
      </c>
      <c r="E91" t="s">
        <v>73</v>
      </c>
      <c r="G91" t="s">
        <v>82</v>
      </c>
      <c r="H91" t="s">
        <v>74</v>
      </c>
      <c r="I91" t="s">
        <v>75</v>
      </c>
      <c r="J91" t="s">
        <v>76</v>
      </c>
      <c r="K91" t="s">
        <v>77</v>
      </c>
      <c r="M91" t="s">
        <v>78</v>
      </c>
      <c r="O91" t="s">
        <v>83</v>
      </c>
      <c r="P91" s="2" t="s">
        <v>300</v>
      </c>
      <c r="Q91" t="s">
        <v>79</v>
      </c>
      <c r="R91" t="s">
        <v>80</v>
      </c>
      <c r="T91" t="s">
        <v>68</v>
      </c>
      <c r="U91" s="2" t="s">
        <v>310</v>
      </c>
      <c r="V91" s="2" t="s">
        <v>312</v>
      </c>
      <c r="W91" s="2" t="s">
        <v>311</v>
      </c>
      <c r="X91" s="2" t="s">
        <v>313</v>
      </c>
    </row>
    <row r="92" spans="1:37" x14ac:dyDescent="0.2">
      <c r="A92" s="20">
        <v>42300.100694444445</v>
      </c>
      <c r="B92">
        <v>26.53</v>
      </c>
      <c r="C92" s="17">
        <v>36.1556</v>
      </c>
      <c r="D92">
        <v>2336.42</v>
      </c>
      <c r="E92" s="18">
        <f>(D92/C92)*35.4</f>
        <v>2287.5921848897542</v>
      </c>
      <c r="G92" s="17">
        <v>1900.75</v>
      </c>
      <c r="H92" s="18">
        <f>(G92/C92)*35.4</f>
        <v>1861.0270608149222</v>
      </c>
      <c r="I92" s="12">
        <v>2007.9312744140625</v>
      </c>
      <c r="J92" s="31">
        <v>6.6815275267483303</v>
      </c>
      <c r="K92" s="31">
        <v>10.833808273045957</v>
      </c>
      <c r="M92" s="15">
        <v>8.2074794769287109</v>
      </c>
      <c r="O92" s="17">
        <v>178.96</v>
      </c>
      <c r="P92" s="18">
        <f t="shared" ref="P92:P105" si="72">(O92/C92)*35.4</f>
        <v>175.21999358329001</v>
      </c>
      <c r="Q92" s="17">
        <v>199.738119495288</v>
      </c>
      <c r="R92" s="17">
        <f>Q92/1.025</f>
        <v>194.86645804418345</v>
      </c>
      <c r="S92" s="17"/>
      <c r="T92" s="17">
        <v>5.3644800000000004</v>
      </c>
      <c r="U92" s="17">
        <f>'All Experimental Diel Data'!U35</f>
        <v>413.39219908023199</v>
      </c>
      <c r="V92">
        <f>(0.251*(T92)^2*(U92/660)^(-0.5))/100</f>
        <v>9.1268268571035108E-2</v>
      </c>
      <c r="W92" s="17">
        <f>'All Experimental Diel Data'!W35</f>
        <v>485.61468412278901</v>
      </c>
      <c r="X92">
        <f>(0.251*(T92)^2*(W92/660)^(-0.5))/100</f>
        <v>8.420832812393883E-2</v>
      </c>
    </row>
    <row r="93" spans="1:37" x14ac:dyDescent="0.2">
      <c r="A93" s="20">
        <v>42300.260416666664</v>
      </c>
      <c r="B93">
        <v>26.16</v>
      </c>
      <c r="C93" s="17">
        <v>36.160299999999999</v>
      </c>
      <c r="D93">
        <v>2379.6</v>
      </c>
      <c r="E93" s="18">
        <f t="shared" ref="E93:E105" si="73">(D93/C93)*35.4</f>
        <v>2329.5669560263605</v>
      </c>
      <c r="G93" s="17">
        <v>2051.9499999999998</v>
      </c>
      <c r="H93" s="18">
        <f t="shared" ref="H93:H105" si="74">(G93/C93)*35.4</f>
        <v>2008.8060663213521</v>
      </c>
      <c r="I93" s="12">
        <v>2011.078369140625</v>
      </c>
      <c r="J93" s="31">
        <v>11.059618116988261</v>
      </c>
      <c r="K93" s="31">
        <v>10.932284338086886</v>
      </c>
      <c r="M93" s="15">
        <v>8.0466423034667969</v>
      </c>
      <c r="O93" s="17">
        <v>187.34</v>
      </c>
      <c r="P93" s="18">
        <f t="shared" si="72"/>
        <v>183.40102266850664</v>
      </c>
      <c r="Q93" s="17">
        <v>200.94631974997199</v>
      </c>
      <c r="R93" s="17">
        <f t="shared" ref="R93:R105" si="75">Q93/1.025</f>
        <v>196.04518999997268</v>
      </c>
      <c r="S93" s="17"/>
      <c r="T93" s="17">
        <v>4.91744</v>
      </c>
      <c r="U93" s="17">
        <f>'All Experimental Diel Data'!U36</f>
        <v>420.84976086100829</v>
      </c>
      <c r="V93">
        <f t="shared" ref="V93:V105" si="76">(0.251*(T93)^2*(U93/660)^(-0.5))/100</f>
        <v>7.6008171687422424E-2</v>
      </c>
      <c r="W93" s="17">
        <f>'All Experimental Diel Data'!W36</f>
        <v>494.37989974376427</v>
      </c>
      <c r="X93">
        <f t="shared" ref="X93:X105" si="77">(0.251*(T93)^2*(W93/660)^(-0.5))/100</f>
        <v>7.0128318523338687E-2</v>
      </c>
    </row>
    <row r="94" spans="1:37" x14ac:dyDescent="0.2">
      <c r="A94" s="20">
        <v>42300.333333333336</v>
      </c>
      <c r="B94">
        <v>26.56</v>
      </c>
      <c r="C94" s="17">
        <v>36.184199999999997</v>
      </c>
      <c r="D94">
        <v>2385.9499999999998</v>
      </c>
      <c r="E94" s="18">
        <f t="shared" si="73"/>
        <v>2334.2406354154577</v>
      </c>
      <c r="G94" s="17">
        <v>2037.9099999999999</v>
      </c>
      <c r="H94" s="18">
        <f t="shared" si="74"/>
        <v>1993.743512361749</v>
      </c>
      <c r="I94" s="12">
        <v>2007.509521484375</v>
      </c>
      <c r="J94" s="31">
        <v>10.217888079467469</v>
      </c>
      <c r="K94" s="31">
        <v>10.824283507235906</v>
      </c>
      <c r="M94" s="15">
        <v>8.0712156295776367</v>
      </c>
      <c r="O94" s="17">
        <v>200.71</v>
      </c>
      <c r="P94" s="18">
        <f t="shared" si="72"/>
        <v>196.36012403203611</v>
      </c>
      <c r="Q94" s="17">
        <v>199.60392923672899</v>
      </c>
      <c r="R94" s="17">
        <f t="shared" si="75"/>
        <v>194.73554071876001</v>
      </c>
      <c r="S94" s="17"/>
      <c r="T94" s="17">
        <v>4.4703999999999997</v>
      </c>
      <c r="U94" s="17">
        <f>'All Experimental Diel Data'!U37</f>
        <v>412.7931632449625</v>
      </c>
      <c r="V94">
        <f t="shared" si="76"/>
        <v>6.3426713720210817E-2</v>
      </c>
      <c r="W94" s="17">
        <f>'All Experimental Diel Data'!W37</f>
        <v>484.91099077705758</v>
      </c>
      <c r="X94">
        <f t="shared" si="77"/>
        <v>5.8520421328024652E-2</v>
      </c>
    </row>
    <row r="95" spans="1:37" x14ac:dyDescent="0.2">
      <c r="A95" s="20">
        <v>42300.416666666664</v>
      </c>
      <c r="B95">
        <v>27.18</v>
      </c>
      <c r="C95" s="17">
        <v>36.194000000000003</v>
      </c>
      <c r="D95">
        <v>2373.6799999999998</v>
      </c>
      <c r="E95" s="18">
        <f t="shared" si="73"/>
        <v>2321.6077802950758</v>
      </c>
      <c r="G95" s="17">
        <v>2003.845</v>
      </c>
      <c r="H95" s="18">
        <f t="shared" si="74"/>
        <v>1959.8859755760623</v>
      </c>
      <c r="I95" s="12">
        <v>2002.1142578125</v>
      </c>
      <c r="J95" s="31">
        <v>9.2723825295105105</v>
      </c>
      <c r="K95" s="31">
        <v>10.662062176407076</v>
      </c>
      <c r="M95" s="15">
        <v>8.0967721939086914</v>
      </c>
      <c r="O95" s="17">
        <v>221.68</v>
      </c>
      <c r="P95" s="18">
        <f t="shared" si="72"/>
        <v>216.81693098303583</v>
      </c>
      <c r="Q95" s="17">
        <v>197.591161283551</v>
      </c>
      <c r="R95" s="17">
        <f t="shared" si="75"/>
        <v>192.77186466687905</v>
      </c>
      <c r="S95" s="17"/>
      <c r="T95" s="17">
        <v>3.5763199999999999</v>
      </c>
      <c r="U95" s="17">
        <f>'All Experimental Diel Data'!U38</f>
        <v>400.5982660473714</v>
      </c>
      <c r="V95">
        <f t="shared" si="76"/>
        <v>4.120632651555968E-2</v>
      </c>
      <c r="W95" s="17">
        <f>'All Experimental Diel Data'!W38</f>
        <v>470.59818075087742</v>
      </c>
      <c r="X95">
        <f t="shared" si="77"/>
        <v>3.8018353993463261E-2</v>
      </c>
    </row>
    <row r="96" spans="1:37" x14ac:dyDescent="0.2">
      <c r="A96" s="20">
        <v>42300.5</v>
      </c>
      <c r="B96">
        <v>27.62</v>
      </c>
      <c r="C96" s="17">
        <v>36.191000000000003</v>
      </c>
      <c r="D96">
        <v>2344.02</v>
      </c>
      <c r="E96" s="18">
        <f t="shared" si="73"/>
        <v>2292.788483324583</v>
      </c>
      <c r="G96" s="17">
        <v>1982.145</v>
      </c>
      <c r="H96" s="18">
        <f t="shared" si="74"/>
        <v>1938.822718355392</v>
      </c>
      <c r="I96" s="12">
        <v>1998.32861328125</v>
      </c>
      <c r="J96" s="31">
        <v>9.4031468963436726</v>
      </c>
      <c r="K96" s="31">
        <v>10.55009504166574</v>
      </c>
      <c r="M96" s="15">
        <v>8.0832967758178711</v>
      </c>
      <c r="O96" s="17">
        <v>229.12</v>
      </c>
      <c r="P96" s="18">
        <f t="shared" si="72"/>
        <v>224.11229311154705</v>
      </c>
      <c r="Q96" s="17">
        <v>196.19885976542099</v>
      </c>
      <c r="R96" s="17">
        <f t="shared" si="75"/>
        <v>191.41352172236196</v>
      </c>
      <c r="S96" s="17"/>
      <c r="T96" s="17">
        <v>3.1292800000000001</v>
      </c>
      <c r="U96" s="17">
        <f>'All Experimental Diel Data'!U39</f>
        <v>392.15395199078773</v>
      </c>
      <c r="V96">
        <f t="shared" si="76"/>
        <v>3.1886455088909971E-2</v>
      </c>
      <c r="W96" s="17">
        <f>'All Experimental Diel Data'!W39</f>
        <v>460.70161282335465</v>
      </c>
      <c r="X96">
        <f t="shared" si="77"/>
        <v>2.9418780901385441E-2</v>
      </c>
    </row>
    <row r="97" spans="1:24" x14ac:dyDescent="0.2">
      <c r="A97" s="20">
        <v>42300.583333333336</v>
      </c>
      <c r="B97">
        <v>27.7</v>
      </c>
      <c r="C97" s="17">
        <v>36.185200000000002</v>
      </c>
      <c r="D97">
        <v>2364.16</v>
      </c>
      <c r="E97" s="18">
        <f t="shared" si="73"/>
        <v>2312.8589589113776</v>
      </c>
      <c r="G97" s="17">
        <v>1985.9050000000002</v>
      </c>
      <c r="H97" s="18">
        <f t="shared" si="74"/>
        <v>1942.8118954710765</v>
      </c>
      <c r="I97" s="12">
        <v>1997.669921875</v>
      </c>
      <c r="J97" s="31">
        <v>8.9313633874982603</v>
      </c>
      <c r="K97" s="31">
        <v>10.530246521086012</v>
      </c>
      <c r="M97" s="15">
        <v>8.1031932830810547</v>
      </c>
      <c r="O97" s="17">
        <v>226.57</v>
      </c>
      <c r="P97" s="18">
        <f t="shared" si="72"/>
        <v>221.6535489647701</v>
      </c>
      <c r="Q97" s="17">
        <v>195.95427844185201</v>
      </c>
      <c r="R97" s="17">
        <f t="shared" si="75"/>
        <v>191.17490579692881</v>
      </c>
      <c r="S97" s="17"/>
      <c r="T97" s="17">
        <v>2.9057599999999999</v>
      </c>
      <c r="U97" s="17">
        <f>'All Experimental Diel Data'!U40</f>
        <v>390.63702651257051</v>
      </c>
      <c r="V97">
        <f t="shared" si="76"/>
        <v>2.7547263844718239E-2</v>
      </c>
      <c r="W97" s="17">
        <f>'All Experimental Diel Data'!W40</f>
        <v>458.92503833654996</v>
      </c>
      <c r="X97">
        <f t="shared" si="77"/>
        <v>2.5415244670239982E-2</v>
      </c>
    </row>
    <row r="98" spans="1:24" x14ac:dyDescent="0.2">
      <c r="A98" s="20">
        <v>42300.666666666664</v>
      </c>
      <c r="B98">
        <v>27.4</v>
      </c>
      <c r="C98" s="17">
        <v>36.197000000000003</v>
      </c>
      <c r="D98">
        <v>2349.4899999999998</v>
      </c>
      <c r="E98" s="18">
        <f t="shared" si="73"/>
        <v>2297.7579909937281</v>
      </c>
      <c r="G98" s="17">
        <v>1983.105</v>
      </c>
      <c r="H98" s="18">
        <f t="shared" si="74"/>
        <v>1939.4402022267036</v>
      </c>
      <c r="I98" s="12">
        <v>2000.19677734375</v>
      </c>
      <c r="J98" s="31">
        <v>9.2353411569319306</v>
      </c>
      <c r="K98" s="31">
        <v>10.605569397012516</v>
      </c>
      <c r="M98" s="15">
        <v>8.0923471450805664</v>
      </c>
      <c r="O98" s="17">
        <v>221.94</v>
      </c>
      <c r="P98" s="18">
        <f t="shared" si="72"/>
        <v>217.05323645605986</v>
      </c>
      <c r="Q98" s="17">
        <v>196.88699594090599</v>
      </c>
      <c r="R98" s="17">
        <f t="shared" si="75"/>
        <v>192.08487408868879</v>
      </c>
      <c r="S98" s="17"/>
      <c r="T98" s="17">
        <v>2.9057599999999999</v>
      </c>
      <c r="U98" s="17">
        <f>'All Experimental Diel Data'!U41</f>
        <v>396.35460425552026</v>
      </c>
      <c r="V98">
        <f t="shared" si="76"/>
        <v>2.7347851792026381E-2</v>
      </c>
      <c r="W98" s="17">
        <f>'All Experimental Diel Data'!W41</f>
        <v>465.62323340879942</v>
      </c>
      <c r="X98">
        <f t="shared" si="77"/>
        <v>2.5231777728675769E-2</v>
      </c>
    </row>
    <row r="99" spans="1:24" x14ac:dyDescent="0.2">
      <c r="A99" s="20">
        <v>42300.739583333336</v>
      </c>
      <c r="B99">
        <v>27.02</v>
      </c>
      <c r="C99" s="17">
        <v>36.177799999999998</v>
      </c>
      <c r="D99">
        <v>2348.7199999999998</v>
      </c>
      <c r="E99" s="18">
        <f t="shared" si="73"/>
        <v>2298.2239937199056</v>
      </c>
      <c r="G99" s="17">
        <v>1992.54</v>
      </c>
      <c r="H99" s="18">
        <f t="shared" si="74"/>
        <v>1949.7016402324077</v>
      </c>
      <c r="I99" s="12">
        <v>2003.5875244140625</v>
      </c>
      <c r="J99" s="31">
        <v>9.5926048545135885</v>
      </c>
      <c r="K99" s="31">
        <v>10.704255329112073</v>
      </c>
      <c r="M99" s="15">
        <v>8.0829381942749023</v>
      </c>
      <c r="O99" s="17">
        <v>211.03</v>
      </c>
      <c r="P99" s="18">
        <f t="shared" si="72"/>
        <v>206.4929874121699</v>
      </c>
      <c r="Q99" s="17">
        <v>198.12399993025701</v>
      </c>
      <c r="R99" s="17">
        <f t="shared" si="75"/>
        <v>193.29170724903125</v>
      </c>
      <c r="S99" s="17"/>
      <c r="T99" s="17">
        <v>3.1292800000000001</v>
      </c>
      <c r="U99" s="17">
        <f>'All Experimental Diel Data'!U42</f>
        <v>403.71183420712339</v>
      </c>
      <c r="V99">
        <f t="shared" si="76"/>
        <v>3.1426701319081228E-2</v>
      </c>
      <c r="W99" s="17">
        <f>'All Experimental Diel Data'!W42</f>
        <v>474.25017595041669</v>
      </c>
      <c r="X99">
        <f t="shared" si="77"/>
        <v>2.8995512395401598E-2</v>
      </c>
    </row>
    <row r="100" spans="1:24" x14ac:dyDescent="0.2">
      <c r="A100" s="20">
        <v>42300.916666666664</v>
      </c>
      <c r="B100">
        <v>26.19</v>
      </c>
      <c r="C100" s="17">
        <v>35.829000000000001</v>
      </c>
      <c r="D100">
        <v>2350.8200000000002</v>
      </c>
      <c r="E100" s="18">
        <f t="shared" si="73"/>
        <v>2322.6723603784644</v>
      </c>
      <c r="G100" s="17">
        <v>2043.855</v>
      </c>
      <c r="H100" s="18">
        <f t="shared" si="74"/>
        <v>2019.3828183873397</v>
      </c>
      <c r="I100" s="12">
        <v>2012.7080078125</v>
      </c>
      <c r="J100" s="31">
        <v>11.784333322789001</v>
      </c>
      <c r="K100" s="31">
        <v>10.942868458633246</v>
      </c>
      <c r="M100" s="15">
        <v>8.0212059020996094</v>
      </c>
      <c r="O100" s="17">
        <v>185.6</v>
      </c>
      <c r="P100" s="18">
        <f t="shared" si="72"/>
        <v>183.37771079293307</v>
      </c>
      <c r="Q100" s="17">
        <v>201.27266108536401</v>
      </c>
      <c r="R100" s="17">
        <f t="shared" si="75"/>
        <v>196.36357179059905</v>
      </c>
      <c r="S100" s="17"/>
      <c r="T100" s="17">
        <v>4.4703999999999997</v>
      </c>
      <c r="U100" s="17">
        <f>'All Experimental Diel Data'!U43</f>
        <v>420.24026735549762</v>
      </c>
      <c r="V100">
        <f t="shared" si="76"/>
        <v>6.2862207243451346E-2</v>
      </c>
      <c r="W100" s="17">
        <f>'All Experimental Diel Data'!W43</f>
        <v>493.66320901440992</v>
      </c>
      <c r="X100">
        <f t="shared" si="77"/>
        <v>5.7999343414252634E-2</v>
      </c>
    </row>
    <row r="101" spans="1:24" x14ac:dyDescent="0.2">
      <c r="A101" s="20">
        <v>42301.00277777778</v>
      </c>
      <c r="B101">
        <v>26.13</v>
      </c>
      <c r="C101" s="17">
        <v>35.717399999999998</v>
      </c>
      <c r="D101">
        <v>2348.9699999999998</v>
      </c>
      <c r="E101" s="18">
        <f t="shared" si="73"/>
        <v>2328.096054024089</v>
      </c>
      <c r="G101" s="17">
        <v>2039.155</v>
      </c>
      <c r="H101" s="18">
        <f t="shared" si="74"/>
        <v>2021.0342018176016</v>
      </c>
      <c r="I101" s="12">
        <v>2013.8548583984375</v>
      </c>
      <c r="J101" s="31">
        <v>11.571991728154826</v>
      </c>
      <c r="K101" s="31">
        <v>10.965349152871045</v>
      </c>
      <c r="M101" s="15">
        <v>8.0284481048583984</v>
      </c>
      <c r="O101" s="17">
        <v>183.13</v>
      </c>
      <c r="P101" s="18">
        <f t="shared" si="72"/>
        <v>181.50262897075376</v>
      </c>
      <c r="Q101" s="17">
        <v>201.61498321372699</v>
      </c>
      <c r="R101" s="17">
        <f t="shared" si="75"/>
        <v>196.69754459875804</v>
      </c>
      <c r="S101" s="17"/>
      <c r="T101" s="17">
        <v>4.0233600000000003</v>
      </c>
      <c r="U101" s="17">
        <f>'All Experimental Diel Data'!U44</f>
        <v>421.46011393646438</v>
      </c>
      <c r="V101">
        <f t="shared" si="76"/>
        <v>5.0844647045551285E-2</v>
      </c>
      <c r="W101" s="17">
        <f>'All Experimental Diel Data'!W44</f>
        <v>495.09765820778307</v>
      </c>
      <c r="X101">
        <f t="shared" si="77"/>
        <v>4.6911361861620128E-2</v>
      </c>
    </row>
    <row r="102" spans="1:24" x14ac:dyDescent="0.2">
      <c r="A102" s="20">
        <v>42301.086111111108</v>
      </c>
      <c r="B102">
        <v>26.11</v>
      </c>
      <c r="C102" s="17">
        <v>35.916499999999999</v>
      </c>
      <c r="D102">
        <v>2360.96</v>
      </c>
      <c r="E102" s="18">
        <f t="shared" si="73"/>
        <v>2327.0080325198728</v>
      </c>
      <c r="G102" s="17">
        <v>2065.23</v>
      </c>
      <c r="H102" s="18">
        <f t="shared" si="74"/>
        <v>2035.5308006069633</v>
      </c>
      <c r="I102" s="12">
        <v>2012.89404296875</v>
      </c>
      <c r="J102" s="31">
        <v>12.542299624690012</v>
      </c>
      <c r="K102" s="31">
        <v>10.959507289281166</v>
      </c>
      <c r="M102" s="15">
        <v>8.0010442733764648</v>
      </c>
      <c r="O102" s="17">
        <v>179.91</v>
      </c>
      <c r="P102" s="18">
        <f t="shared" si="72"/>
        <v>177.32279036097614</v>
      </c>
      <c r="Q102" s="17">
        <v>201.42498342744699</v>
      </c>
      <c r="R102" s="17">
        <f t="shared" si="75"/>
        <v>196.51217895360685</v>
      </c>
      <c r="S102" s="17"/>
      <c r="T102" s="17">
        <v>2.6822400000000002</v>
      </c>
      <c r="U102" s="17">
        <f>'All Experimental Diel Data'!U45</f>
        <v>421.86749443090378</v>
      </c>
      <c r="V102">
        <f t="shared" si="76"/>
        <v>2.2586707466406706E-2</v>
      </c>
      <c r="W102" s="17">
        <f>'All Experimental Diel Data'!W45</f>
        <v>495.57675809952781</v>
      </c>
      <c r="X102">
        <f t="shared" si="77"/>
        <v>2.0839413577218937E-2</v>
      </c>
    </row>
    <row r="103" spans="1:24" x14ac:dyDescent="0.2">
      <c r="A103" s="20">
        <v>42301.166666666664</v>
      </c>
      <c r="B103">
        <v>26.05</v>
      </c>
      <c r="C103" s="17">
        <v>35.9938</v>
      </c>
      <c r="D103">
        <v>2361.85</v>
      </c>
      <c r="E103" s="18">
        <f t="shared" si="73"/>
        <v>2322.8858859025718</v>
      </c>
      <c r="G103" s="17">
        <v>2065.37</v>
      </c>
      <c r="H103" s="18">
        <f t="shared" si="74"/>
        <v>2031.297001150198</v>
      </c>
      <c r="I103" s="12">
        <v>2012.9676513671875</v>
      </c>
      <c r="J103" s="31">
        <v>12.51638159071992</v>
      </c>
      <c r="K103" s="31">
        <v>10.971360214131771</v>
      </c>
      <c r="M103" s="15">
        <v>8.0021133422851562</v>
      </c>
      <c r="O103" s="17">
        <v>180.34</v>
      </c>
      <c r="P103" s="18">
        <f t="shared" si="72"/>
        <v>177.36487950702622</v>
      </c>
      <c r="Q103" s="17">
        <v>201.524403167093</v>
      </c>
      <c r="R103" s="17">
        <f t="shared" si="75"/>
        <v>196.60917382155415</v>
      </c>
      <c r="S103" s="17"/>
      <c r="T103" s="17">
        <v>2.45872</v>
      </c>
      <c r="U103" s="17">
        <f>'All Experimental Diel Data'!U46</f>
        <v>423.09193849021091</v>
      </c>
      <c r="V103">
        <f t="shared" si="76"/>
        <v>1.8951625330133771E-2</v>
      </c>
      <c r="W103" s="17">
        <f>'All Experimental Diel Data'!W46</f>
        <v>497.01691724284689</v>
      </c>
      <c r="X103">
        <f t="shared" si="77"/>
        <v>1.7485507888413323E-2</v>
      </c>
    </row>
    <row r="104" spans="1:24" x14ac:dyDescent="0.2">
      <c r="A104" s="20">
        <v>42301.25</v>
      </c>
      <c r="B104">
        <v>25.95</v>
      </c>
      <c r="C104" s="17">
        <v>36.057200000000002</v>
      </c>
      <c r="D104">
        <v>2370.13</v>
      </c>
      <c r="E104" s="18">
        <f t="shared" si="73"/>
        <v>2326.9305991591141</v>
      </c>
      <c r="G104" s="17">
        <v>2073.7950000000001</v>
      </c>
      <c r="H104" s="18">
        <f t="shared" si="74"/>
        <v>2035.9967773426665</v>
      </c>
      <c r="I104" s="12">
        <v>2013.462158203125</v>
      </c>
      <c r="J104" s="31">
        <v>12.612188097905261</v>
      </c>
      <c r="K104" s="31">
        <v>10.994884949620376</v>
      </c>
      <c r="M104" s="15">
        <v>8.0013408660888672</v>
      </c>
      <c r="O104" s="17">
        <v>179.62</v>
      </c>
      <c r="P104" s="18">
        <f t="shared" si="72"/>
        <v>176.3461389126166</v>
      </c>
      <c r="Q104" s="17">
        <v>201.77487035789301</v>
      </c>
      <c r="R104" s="17">
        <f t="shared" si="75"/>
        <v>196.85353205648099</v>
      </c>
      <c r="S104" s="17"/>
      <c r="T104" s="17">
        <v>3.1292800000000001</v>
      </c>
      <c r="U104" s="17">
        <f>'All Experimental Diel Data'!U47</f>
        <v>425.14038737751071</v>
      </c>
      <c r="V104">
        <f t="shared" si="76"/>
        <v>3.0624454122267802E-2</v>
      </c>
      <c r="W104" s="17">
        <f>'All Experimental Diel Data'!W47</f>
        <v>499.42675307659658</v>
      </c>
      <c r="X104">
        <f t="shared" si="77"/>
        <v>2.8255216333297226E-2</v>
      </c>
    </row>
    <row r="105" spans="1:24" x14ac:dyDescent="0.2">
      <c r="A105" s="20">
        <v>42301.354166666664</v>
      </c>
      <c r="B105">
        <v>26.48</v>
      </c>
      <c r="C105" s="17">
        <v>36.111400000000003</v>
      </c>
      <c r="D105">
        <v>2355.0100000000002</v>
      </c>
      <c r="E105" s="18">
        <f t="shared" si="73"/>
        <v>2308.6159495339421</v>
      </c>
      <c r="G105" s="17">
        <v>2043.7649999999999</v>
      </c>
      <c r="H105" s="18">
        <f t="shared" si="74"/>
        <v>2003.5025227490482</v>
      </c>
      <c r="I105" s="12">
        <v>2008.6134033203125</v>
      </c>
      <c r="J105" s="31">
        <v>11.713310851648677</v>
      </c>
      <c r="K105" s="31">
        <v>10.849521390201687</v>
      </c>
      <c r="M105" s="15">
        <v>8.0198726654052734</v>
      </c>
      <c r="O105" s="17">
        <v>201.52</v>
      </c>
      <c r="P105" s="18">
        <f t="shared" si="72"/>
        <v>197.55002575364011</v>
      </c>
      <c r="Q105" s="17">
        <v>199.95768591237001</v>
      </c>
      <c r="R105" s="17">
        <f t="shared" si="75"/>
        <v>195.08066918280002</v>
      </c>
      <c r="S105" s="17"/>
      <c r="T105" s="17">
        <v>3.5763199999999999</v>
      </c>
      <c r="U105" s="17">
        <f>'All Experimental Diel Data'!U48</f>
        <v>414.39245613493057</v>
      </c>
      <c r="V105">
        <f t="shared" si="76"/>
        <v>4.051468921216031E-2</v>
      </c>
      <c r="W105" s="17">
        <f>'All Experimental Diel Data'!W48</f>
        <v>486.7898237287626</v>
      </c>
      <c r="X105">
        <f t="shared" si="77"/>
        <v>3.7380722110870665E-2</v>
      </c>
    </row>
    <row r="107" spans="1:24" x14ac:dyDescent="0.2">
      <c r="A107" s="33" t="s">
        <v>155</v>
      </c>
      <c r="B107" s="34">
        <v>400</v>
      </c>
    </row>
    <row r="108" spans="1:24" x14ac:dyDescent="0.2">
      <c r="A108" s="33" t="s">
        <v>156</v>
      </c>
      <c r="B108" s="34">
        <v>2.75</v>
      </c>
    </row>
    <row r="109" spans="1:24" x14ac:dyDescent="0.2">
      <c r="A109" s="33" t="s">
        <v>157</v>
      </c>
      <c r="B109" s="34">
        <v>1</v>
      </c>
    </row>
    <row r="110" spans="1:24" x14ac:dyDescent="0.2">
      <c r="A110" s="33" t="s">
        <v>158</v>
      </c>
      <c r="B110" s="34">
        <v>1.0249999999999999</v>
      </c>
    </row>
    <row r="111" spans="1:24" x14ac:dyDescent="0.2">
      <c r="A111" s="33" t="s">
        <v>159</v>
      </c>
      <c r="B111" s="34">
        <v>1978</v>
      </c>
    </row>
    <row r="112" spans="1:24" x14ac:dyDescent="0.2">
      <c r="A112" s="33" t="s">
        <v>160</v>
      </c>
      <c r="B112" s="34">
        <v>2332</v>
      </c>
    </row>
    <row r="113" spans="1:41" x14ac:dyDescent="0.2">
      <c r="A113" s="33" t="s">
        <v>161</v>
      </c>
      <c r="B113" s="34">
        <v>197</v>
      </c>
    </row>
    <row r="115" spans="1:41" x14ac:dyDescent="0.2">
      <c r="A115" s="1" t="s">
        <v>314</v>
      </c>
    </row>
    <row r="116" spans="1:41" x14ac:dyDescent="0.2">
      <c r="A116" t="s">
        <v>163</v>
      </c>
      <c r="B116" t="s">
        <v>71</v>
      </c>
      <c r="C116" t="s">
        <v>164</v>
      </c>
      <c r="D116" t="s">
        <v>165</v>
      </c>
      <c r="E116" t="s">
        <v>166</v>
      </c>
      <c r="F116" t="s">
        <v>315</v>
      </c>
      <c r="G116" t="s">
        <v>323</v>
      </c>
      <c r="H116" t="s">
        <v>389</v>
      </c>
      <c r="I116" t="s">
        <v>315</v>
      </c>
      <c r="J116" t="s">
        <v>390</v>
      </c>
      <c r="K116" t="s">
        <v>391</v>
      </c>
      <c r="L116" t="s">
        <v>393</v>
      </c>
      <c r="M116" t="s">
        <v>392</v>
      </c>
      <c r="N116" t="s">
        <v>168</v>
      </c>
      <c r="O116" t="s">
        <v>169</v>
      </c>
      <c r="Q116" t="s">
        <v>171</v>
      </c>
      <c r="R116" t="s">
        <v>172</v>
      </c>
      <c r="S116" t="s">
        <v>173</v>
      </c>
      <c r="T116" t="s">
        <v>315</v>
      </c>
      <c r="U116" t="s">
        <v>324</v>
      </c>
      <c r="V116" t="s">
        <v>387</v>
      </c>
      <c r="W116" t="s">
        <v>315</v>
      </c>
      <c r="X116" t="s">
        <v>394</v>
      </c>
      <c r="Y116" t="s">
        <v>395</v>
      </c>
      <c r="Z116" t="s">
        <v>396</v>
      </c>
      <c r="AA116" t="s">
        <v>397</v>
      </c>
      <c r="AB116" t="s">
        <v>174</v>
      </c>
      <c r="AC116" t="s">
        <v>315</v>
      </c>
      <c r="AD116" t="s">
        <v>325</v>
      </c>
      <c r="AE116" t="s">
        <v>388</v>
      </c>
      <c r="AF116" t="s">
        <v>315</v>
      </c>
      <c r="AG116" t="s">
        <v>398</v>
      </c>
      <c r="AH116" t="s">
        <v>399</v>
      </c>
      <c r="AI116" t="s">
        <v>400</v>
      </c>
      <c r="AJ116" t="s">
        <v>401</v>
      </c>
      <c r="AK116" t="s">
        <v>176</v>
      </c>
      <c r="AL116" t="s">
        <v>316</v>
      </c>
      <c r="AM116" t="s">
        <v>549</v>
      </c>
      <c r="AN116" t="s">
        <v>550</v>
      </c>
      <c r="AO116" t="s">
        <v>551</v>
      </c>
    </row>
    <row r="117" spans="1:41" x14ac:dyDescent="0.2">
      <c r="A117" t="s">
        <v>201</v>
      </c>
      <c r="B117" s="20">
        <v>42300.100694444445</v>
      </c>
      <c r="C117">
        <f>(V92/$B$109)*(R92-O92)</f>
        <v>1.4517548847904358</v>
      </c>
      <c r="D117">
        <f>(1/$B$108)*$B$113-(1/$B$108)*P92</f>
        <v>7.920002333349089</v>
      </c>
      <c r="E117" s="17">
        <f>(P93-P92)/(B118-B117)*(1/24)-(D117+C117)</f>
        <v>-7.2375757176050195</v>
      </c>
      <c r="F117">
        <f>E117/1000*1025*$B$109</f>
        <v>-7.4185151105451448</v>
      </c>
      <c r="G117" s="17">
        <f t="shared" ref="G117:G129" si="78">($B118-$B117)*24*F117</f>
        <v>-28.43764125651397</v>
      </c>
      <c r="M117" s="17"/>
      <c r="N117">
        <f t="shared" ref="N117:N129" si="79">(1/$B$108)*$B$112-(1/$B$108)*E92</f>
        <v>16.148296403725681</v>
      </c>
      <c r="O117" s="17">
        <f t="shared" ref="O117:O129" si="80">(E93-E92)/(B118-B117)*(1/24)-(N117)</f>
        <v>-5.1983561069980091</v>
      </c>
      <c r="Q117">
        <f>(X92/$B$109)*(K92-J92)</f>
        <v>0.34965661954694416</v>
      </c>
      <c r="R117">
        <f t="shared" ref="R117:R129" si="81">(1/$B$108)*$B$111-(1/$B$108)*H92</f>
        <v>42.535614249119135</v>
      </c>
      <c r="S117">
        <f t="shared" ref="S117:S129" si="82">O117/2</f>
        <v>-2.5991780534990045</v>
      </c>
      <c r="T117">
        <f>S117/1000*1025*$B$109</f>
        <v>-2.6641575048364796</v>
      </c>
      <c r="U117" s="17">
        <f>($B118-$B117)*24*T117</f>
        <v>-10.212603768333073</v>
      </c>
      <c r="X117" s="17"/>
      <c r="Y117" s="17"/>
      <c r="Z117" s="17"/>
      <c r="AA117" s="17"/>
      <c r="AB117" s="17">
        <f t="shared" ref="AB117:AB129" si="83">(H93-H92)/(B118-B117)*(1/24)-(S117+R117+Q117)</f>
        <v>-1.7350478996657088</v>
      </c>
      <c r="AC117">
        <f>AB117/1000*1025*$B$109</f>
        <v>-1.7784240971573515</v>
      </c>
      <c r="AD117" s="17">
        <f>($B118-$B117)*24*AC117</f>
        <v>-6.8172923722984899</v>
      </c>
      <c r="AG117" s="17"/>
      <c r="AK117">
        <f t="shared" ref="AK117:AK129" si="84">F117/AC117</f>
        <v>4.1713982184581075</v>
      </c>
      <c r="AL117">
        <f>SLOPE(F118:F128,AC118:AC128)</f>
        <v>-0.57372702722341928</v>
      </c>
      <c r="AM117">
        <f>SLOPE(J118:J128,AG118:AG128)</f>
        <v>-0.55444621492173696</v>
      </c>
      <c r="AN117">
        <f>SLOPE(L118:L128,AI118:AI128)</f>
        <v>-0.58386806202625652</v>
      </c>
      <c r="AO117">
        <f>(AM117-AN117)/2</f>
        <v>1.471092355225978E-2</v>
      </c>
    </row>
    <row r="118" spans="1:41" x14ac:dyDescent="0.2">
      <c r="A118" t="s">
        <v>202</v>
      </c>
      <c r="B118" s="20">
        <v>42300.260416666664</v>
      </c>
      <c r="C118">
        <f t="shared" ref="C118:C130" si="85">(V93/$B$109)*(R93-O93)</f>
        <v>0.66166557608955578</v>
      </c>
      <c r="D118">
        <f t="shared" ref="D118:D129" si="86">(1/$B$108)*$B$113-(1/$B$108)*P93</f>
        <v>4.9450826659975888</v>
      </c>
      <c r="E118" s="17">
        <f t="shared" ref="E118:E129" si="87">(P94-P93)/(B119-B118)*(1/24)-(D118+C118)</f>
        <v>1.7984525365799362</v>
      </c>
      <c r="F118">
        <f t="shared" ref="F118:F129" si="88">E118/1000*1025*$B$109</f>
        <v>1.8434138499944346</v>
      </c>
      <c r="G118" s="17">
        <f t="shared" si="78"/>
        <v>3.2259742377048624</v>
      </c>
      <c r="H118">
        <v>4.9186806982023903</v>
      </c>
      <c r="I118">
        <f>H118/1000*1025*$B$109</f>
        <v>5.04164771565745</v>
      </c>
      <c r="J118" s="17">
        <f>F118-I118</f>
        <v>-3.1982338656630152</v>
      </c>
      <c r="K118" s="17">
        <f t="shared" ref="K118:M128" si="89">($B119-$B118)*24*J118</f>
        <v>-5.5969092652825996</v>
      </c>
      <c r="L118" s="17">
        <f>F118+I118</f>
        <v>6.8850615656518848</v>
      </c>
      <c r="M118" s="17">
        <f t="shared" si="89"/>
        <v>12.048857740692325</v>
      </c>
      <c r="N118">
        <f t="shared" si="79"/>
        <v>0.88474326314167229</v>
      </c>
      <c r="O118" s="17">
        <f t="shared" si="80"/>
        <v>1.7859306733076878</v>
      </c>
      <c r="Q118">
        <f t="shared" ref="Q118:Q130" si="90">(X93/$B$109)*(K93-J93)</f>
        <v>-8.9297038055760475E-3</v>
      </c>
      <c r="R118">
        <f t="shared" si="81"/>
        <v>-11.202205935037114</v>
      </c>
      <c r="S118">
        <f t="shared" si="82"/>
        <v>0.89296533665384392</v>
      </c>
      <c r="T118">
        <f t="shared" ref="T118:T129" si="91">S118/1000*1025*$B$109</f>
        <v>0.91528947007019001</v>
      </c>
      <c r="U118" s="17">
        <f t="shared" ref="U118:U128" si="92">($B119-$B118)*24*T118</f>
        <v>1.6017565727293863</v>
      </c>
      <c r="V118" s="17">
        <v>2.64102628203175</v>
      </c>
      <c r="W118">
        <f>V118/1000*1025*$B$109</f>
        <v>2.707051939082544</v>
      </c>
      <c r="X118" s="17">
        <f>T118-W118</f>
        <v>-1.7917624690123541</v>
      </c>
      <c r="Y118" s="17">
        <f t="shared" ref="Y118:AA128" si="93">($B119-$B118)*24*X118</f>
        <v>-3.1355843209802083</v>
      </c>
      <c r="Z118" s="17">
        <f>T118+W118</f>
        <v>3.6223414091527339</v>
      </c>
      <c r="AA118" s="17">
        <f t="shared" si="93"/>
        <v>6.3390974664389805</v>
      </c>
      <c r="AB118" s="17">
        <f t="shared" si="83"/>
        <v>1.7109966115596702</v>
      </c>
      <c r="AC118">
        <f t="shared" ref="AC118:AC129" si="94">AB118/1000*1025*$B$109</f>
        <v>1.7537715268486618</v>
      </c>
      <c r="AD118" s="17">
        <f t="shared" ref="AD118:AD129" si="95">($B119-$B118)*24*AC118</f>
        <v>3.0691001721893238</v>
      </c>
      <c r="AE118" s="17">
        <v>5.1955794267858</v>
      </c>
      <c r="AF118">
        <f>AE118/1000*1025*$B$109</f>
        <v>5.3254689124554453</v>
      </c>
      <c r="AG118" s="17">
        <f>AC118-AF118</f>
        <v>-3.5716973856067833</v>
      </c>
      <c r="AH118" s="17">
        <f>($B119-$B118)*24*AG118</f>
        <v>-6.2504704252276708</v>
      </c>
      <c r="AI118" s="17">
        <f>AC118+AF118</f>
        <v>7.0792404393041073</v>
      </c>
      <c r="AJ118" s="17">
        <f>($B119-$B118)*24*AI118</f>
        <v>12.388670769606319</v>
      </c>
      <c r="AK118">
        <f t="shared" si="84"/>
        <v>1.0511140258428362</v>
      </c>
    </row>
    <row r="119" spans="1:41" x14ac:dyDescent="0.2">
      <c r="A119" t="s">
        <v>203</v>
      </c>
      <c r="B119" s="20">
        <v>42300.333333333336</v>
      </c>
      <c r="C119">
        <f t="shared" si="85"/>
        <v>-0.37894031846426607</v>
      </c>
      <c r="D119">
        <f t="shared" si="86"/>
        <v>0.23268217016868675</v>
      </c>
      <c r="E119" s="17">
        <f t="shared" si="87"/>
        <v>10.374661624390811</v>
      </c>
      <c r="F119">
        <f t="shared" si="88"/>
        <v>10.634028165000581</v>
      </c>
      <c r="G119" s="17">
        <f t="shared" si="78"/>
        <v>21.268056328763198</v>
      </c>
      <c r="H119" s="17">
        <v>4.1540008731190801</v>
      </c>
      <c r="I119">
        <f t="shared" ref="I119:I128" si="96">H119/1000*1025*$B$109</f>
        <v>4.2578508949470573</v>
      </c>
      <c r="J119" s="17">
        <f t="shared" ref="J119:J128" si="97">F119-I119</f>
        <v>6.3761772700535237</v>
      </c>
      <c r="K119" s="17">
        <f t="shared" si="89"/>
        <v>12.752354539364763</v>
      </c>
      <c r="L119" s="17">
        <f t="shared" ref="L119:L128" si="98">F119+I119</f>
        <v>14.891879059947637</v>
      </c>
      <c r="M119" s="17">
        <f t="shared" si="89"/>
        <v>29.783758118161632</v>
      </c>
      <c r="N119">
        <f t="shared" si="79"/>
        <v>-0.81477651471197987</v>
      </c>
      <c r="O119" s="17">
        <f t="shared" si="80"/>
        <v>-5.5016510458466437</v>
      </c>
      <c r="Q119">
        <f t="shared" si="90"/>
        <v>3.5486515924396653E-2</v>
      </c>
      <c r="R119">
        <f t="shared" si="81"/>
        <v>-5.7249135860905653</v>
      </c>
      <c r="S119">
        <f t="shared" si="82"/>
        <v>-2.7508255229233218</v>
      </c>
      <c r="T119">
        <f t="shared" si="91"/>
        <v>-2.8195961609964049</v>
      </c>
      <c r="U119" s="17">
        <f t="shared" si="92"/>
        <v>-5.6391923216645656</v>
      </c>
      <c r="V119" s="17">
        <v>2.1723462617951399</v>
      </c>
      <c r="W119">
        <f t="shared" ref="W119:W128" si="99">V119/1000*1025*$B$109</f>
        <v>2.2266549183400182</v>
      </c>
      <c r="X119" s="17">
        <f t="shared" ref="X119:X128" si="100">T119-W119</f>
        <v>-5.0462510793364235</v>
      </c>
      <c r="Y119" s="17">
        <f t="shared" si="93"/>
        <v>-10.092502158085386</v>
      </c>
      <c r="Z119" s="17">
        <f t="shared" ref="Z119:Z128" si="101">T119+W119</f>
        <v>-0.5929412426563867</v>
      </c>
      <c r="AA119" s="17">
        <f t="shared" si="93"/>
        <v>-1.185882485243746</v>
      </c>
      <c r="AB119" s="17">
        <f t="shared" si="83"/>
        <v>-8.4885158007392718</v>
      </c>
      <c r="AC119">
        <f t="shared" si="94"/>
        <v>-8.7007286957577534</v>
      </c>
      <c r="AD119" s="17">
        <f t="shared" si="95"/>
        <v>-17.40145739050261</v>
      </c>
      <c r="AE119" s="17">
        <v>4.4864174591189698</v>
      </c>
      <c r="AF119">
        <f t="shared" ref="AF119:AF128" si="102">AE119/1000*1025*$B$109</f>
        <v>4.5985778955969439</v>
      </c>
      <c r="AG119" s="17">
        <f t="shared" ref="AG119:AG128" si="103">AC119-AF119</f>
        <v>-13.299306591354696</v>
      </c>
      <c r="AH119" s="17">
        <f t="shared" ref="AH119:AH128" si="104">($B120-$B119)*24*AG119</f>
        <v>-26.598613181161149</v>
      </c>
      <c r="AI119" s="17">
        <f t="shared" ref="AI119:AI128" si="105">AC119+AF119</f>
        <v>-4.1021508001608096</v>
      </c>
      <c r="AJ119" s="17">
        <f t="shared" ref="AJ119:AJ128" si="106">($B120-$B119)*24*AI119</f>
        <v>-8.2043015998440652</v>
      </c>
      <c r="AK119">
        <f t="shared" si="84"/>
        <v>-1.2221997187644127</v>
      </c>
    </row>
    <row r="120" spans="1:41" x14ac:dyDescent="0.2">
      <c r="A120" t="s">
        <v>204</v>
      </c>
      <c r="B120" s="20">
        <v>42300.416666666664</v>
      </c>
      <c r="C120">
        <f t="shared" si="85"/>
        <v>-1.1911980634925696</v>
      </c>
      <c r="D120">
        <f t="shared" si="86"/>
        <v>-7.2061567211039375</v>
      </c>
      <c r="E120" s="17">
        <f t="shared" si="87"/>
        <v>12.045035848745952</v>
      </c>
      <c r="F120">
        <f t="shared" si="88"/>
        <v>12.346161744964602</v>
      </c>
      <c r="G120" s="17">
        <f t="shared" si="78"/>
        <v>24.692323490647848</v>
      </c>
      <c r="H120" s="17">
        <v>4.2229451993878699</v>
      </c>
      <c r="I120">
        <f t="shared" si="96"/>
        <v>4.328518829372566</v>
      </c>
      <c r="J120" s="17">
        <f t="shared" si="97"/>
        <v>8.0176429155920363</v>
      </c>
      <c r="K120" s="17">
        <f t="shared" si="89"/>
        <v>16.035285831650761</v>
      </c>
      <c r="L120" s="17">
        <f t="shared" si="98"/>
        <v>16.674680574337167</v>
      </c>
      <c r="M120" s="17">
        <f t="shared" si="89"/>
        <v>33.349361149644928</v>
      </c>
      <c r="N120">
        <f t="shared" si="79"/>
        <v>3.7789889836087696</v>
      </c>
      <c r="O120" s="17">
        <f t="shared" si="80"/>
        <v>-18.1886374684358</v>
      </c>
      <c r="Q120">
        <f t="shared" si="90"/>
        <v>5.2833332753224667E-2</v>
      </c>
      <c r="R120">
        <f t="shared" si="81"/>
        <v>6.5869179723409843</v>
      </c>
      <c r="S120">
        <f t="shared" si="82"/>
        <v>-9.0943187342179002</v>
      </c>
      <c r="T120">
        <f t="shared" si="91"/>
        <v>-9.3216767025733489</v>
      </c>
      <c r="U120" s="17">
        <f t="shared" si="92"/>
        <v>-18.64335340568929</v>
      </c>
      <c r="V120" s="17">
        <v>2.1943978906635802</v>
      </c>
      <c r="W120">
        <f t="shared" si="99"/>
        <v>2.2492578379301698</v>
      </c>
      <c r="X120" s="17">
        <f t="shared" si="100"/>
        <v>-11.570934540503519</v>
      </c>
      <c r="Y120" s="17">
        <f t="shared" si="93"/>
        <v>-23.141869081680554</v>
      </c>
      <c r="Z120" s="17">
        <f t="shared" si="101"/>
        <v>-7.0724188646431791</v>
      </c>
      <c r="AA120" s="17">
        <f t="shared" si="93"/>
        <v>-14.144837729698027</v>
      </c>
      <c r="AB120" s="17">
        <f t="shared" si="83"/>
        <v>-8.0770611809049306</v>
      </c>
      <c r="AC120">
        <f t="shared" si="94"/>
        <v>-8.278987710427554</v>
      </c>
      <c r="AD120" s="17">
        <f t="shared" si="95"/>
        <v>-16.557975421337009</v>
      </c>
      <c r="AE120" s="17">
        <v>4.4340650938842003</v>
      </c>
      <c r="AF120">
        <f t="shared" si="102"/>
        <v>4.5449167212313046</v>
      </c>
      <c r="AG120" s="17">
        <f t="shared" si="103"/>
        <v>-12.823904431658859</v>
      </c>
      <c r="AH120" s="17">
        <f t="shared" si="104"/>
        <v>-25.647808864064167</v>
      </c>
      <c r="AI120" s="17">
        <f t="shared" si="105"/>
        <v>-3.7340709891962494</v>
      </c>
      <c r="AJ120" s="17">
        <f t="shared" si="106"/>
        <v>-7.4681419786098502</v>
      </c>
      <c r="AK120">
        <f t="shared" si="84"/>
        <v>-1.4912646541816168</v>
      </c>
    </row>
    <row r="121" spans="1:41" x14ac:dyDescent="0.2">
      <c r="A121" t="s">
        <v>205</v>
      </c>
      <c r="B121" s="20">
        <v>42300.5</v>
      </c>
      <c r="C121">
        <f t="shared" si="85"/>
        <v>-1.2023259261608648</v>
      </c>
      <c r="D121">
        <f t="shared" si="86"/>
        <v>-9.859015676926191</v>
      </c>
      <c r="E121" s="17">
        <f t="shared" si="87"/>
        <v>9.8319695297343603</v>
      </c>
      <c r="F121">
        <f t="shared" si="88"/>
        <v>10.077768767977719</v>
      </c>
      <c r="G121" s="17">
        <f t="shared" si="78"/>
        <v>20.155537536542042</v>
      </c>
      <c r="H121" s="17">
        <v>4.13001484315933</v>
      </c>
      <c r="I121">
        <f t="shared" si="96"/>
        <v>4.2332652142383136</v>
      </c>
      <c r="J121" s="17">
        <f t="shared" si="97"/>
        <v>5.8445035537394059</v>
      </c>
      <c r="K121" s="17">
        <f t="shared" si="89"/>
        <v>11.689007107819007</v>
      </c>
      <c r="L121" s="17">
        <f t="shared" si="98"/>
        <v>14.311033982216033</v>
      </c>
      <c r="M121" s="17">
        <f t="shared" si="89"/>
        <v>28.622067965265078</v>
      </c>
      <c r="N121">
        <f t="shared" si="79"/>
        <v>14.258733336515206</v>
      </c>
      <c r="O121" s="17">
        <f t="shared" si="80"/>
        <v>-4.223495543409971</v>
      </c>
      <c r="Q121">
        <f t="shared" si="90"/>
        <v>3.374181619248029E-2</v>
      </c>
      <c r="R121">
        <f t="shared" si="81"/>
        <v>14.246284234402879</v>
      </c>
      <c r="S121">
        <f t="shared" si="82"/>
        <v>-2.1117477717049855</v>
      </c>
      <c r="T121">
        <f t="shared" si="91"/>
        <v>-2.1645414659976105</v>
      </c>
      <c r="U121" s="17">
        <f t="shared" si="92"/>
        <v>-4.3290829321212136</v>
      </c>
      <c r="V121" s="17">
        <v>2.2103350229721701</v>
      </c>
      <c r="W121">
        <f t="shared" si="99"/>
        <v>2.2655933985464745</v>
      </c>
      <c r="X121" s="17">
        <f t="shared" si="100"/>
        <v>-4.430134864544085</v>
      </c>
      <c r="Y121" s="17">
        <f t="shared" si="93"/>
        <v>-8.8602697293460384</v>
      </c>
      <c r="Z121" s="17">
        <f t="shared" si="101"/>
        <v>0.10105193254886391</v>
      </c>
      <c r="AA121" s="17">
        <f t="shared" si="93"/>
        <v>0.20210386510360981</v>
      </c>
      <c r="AB121" s="17">
        <f t="shared" si="83"/>
        <v>-10.173689721106188</v>
      </c>
      <c r="AC121">
        <f t="shared" si="94"/>
        <v>-10.428031964133844</v>
      </c>
      <c r="AD121" s="17">
        <f t="shared" si="95"/>
        <v>-20.856063928874679</v>
      </c>
      <c r="AE121" s="17">
        <v>4.44262675694495</v>
      </c>
      <c r="AF121">
        <f t="shared" si="102"/>
        <v>4.553692425868574</v>
      </c>
      <c r="AG121" s="17">
        <f t="shared" si="103"/>
        <v>-14.981724390002418</v>
      </c>
      <c r="AH121" s="17">
        <f t="shared" si="104"/>
        <v>-29.963448780876888</v>
      </c>
      <c r="AI121" s="17">
        <f t="shared" si="105"/>
        <v>-5.8743395382652697</v>
      </c>
      <c r="AJ121" s="17">
        <f t="shared" si="106"/>
        <v>-11.74867907687247</v>
      </c>
      <c r="AK121">
        <f t="shared" si="84"/>
        <v>-0.96641138065544685</v>
      </c>
    </row>
    <row r="122" spans="1:41" x14ac:dyDescent="0.2">
      <c r="A122" t="s">
        <v>206</v>
      </c>
      <c r="B122" s="20">
        <v>42300.583333333336</v>
      </c>
      <c r="C122">
        <f t="shared" si="85"/>
        <v>-0.97503799882065889</v>
      </c>
      <c r="D122">
        <f t="shared" si="86"/>
        <v>-8.9649268962800335</v>
      </c>
      <c r="E122" s="17">
        <f t="shared" si="87"/>
        <v>7.6398086406116894</v>
      </c>
      <c r="F122">
        <f t="shared" si="88"/>
        <v>7.8308038566269813</v>
      </c>
      <c r="G122" s="17">
        <f t="shared" si="78"/>
        <v>15.661607712342336</v>
      </c>
      <c r="H122" s="17">
        <v>4.0994008908058204</v>
      </c>
      <c r="I122">
        <f t="shared" si="96"/>
        <v>4.2018859130759658</v>
      </c>
      <c r="J122" s="17">
        <f t="shared" si="97"/>
        <v>3.6289179435510155</v>
      </c>
      <c r="K122" s="17">
        <f t="shared" si="89"/>
        <v>7.2578358866795689</v>
      </c>
      <c r="L122" s="17">
        <f t="shared" si="98"/>
        <v>12.032689769702948</v>
      </c>
      <c r="M122" s="17">
        <f t="shared" si="89"/>
        <v>24.065379538005107</v>
      </c>
      <c r="N122">
        <f t="shared" si="79"/>
        <v>6.9603785776808991</v>
      </c>
      <c r="O122" s="17">
        <f t="shared" si="80"/>
        <v>-14.510862536945165</v>
      </c>
      <c r="Q122">
        <f t="shared" si="90"/>
        <v>4.0636006039252701E-2</v>
      </c>
      <c r="R122">
        <f t="shared" si="81"/>
        <v>12.795674374153919</v>
      </c>
      <c r="S122">
        <f t="shared" si="82"/>
        <v>-7.2554312684725826</v>
      </c>
      <c r="T122">
        <f t="shared" si="91"/>
        <v>-7.4368170501843966</v>
      </c>
      <c r="U122" s="17">
        <f t="shared" si="92"/>
        <v>-14.873634099503034</v>
      </c>
      <c r="V122" s="17">
        <v>2.2432434212249999</v>
      </c>
      <c r="W122">
        <f t="shared" si="99"/>
        <v>2.2993245067556249</v>
      </c>
      <c r="X122" s="17">
        <f t="shared" si="100"/>
        <v>-9.7361415569400211</v>
      </c>
      <c r="Y122" s="17">
        <f t="shared" si="93"/>
        <v>-19.472283112746606</v>
      </c>
      <c r="Z122" s="17">
        <f t="shared" si="101"/>
        <v>-5.1374925434287722</v>
      </c>
      <c r="AA122" s="17">
        <f t="shared" si="93"/>
        <v>-10.274985086259461</v>
      </c>
      <c r="AB122" s="17">
        <f t="shared" si="83"/>
        <v>-7.2667257340051492</v>
      </c>
      <c r="AC122">
        <f t="shared" si="94"/>
        <v>-7.4483938773552776</v>
      </c>
      <c r="AD122" s="17">
        <f t="shared" si="95"/>
        <v>-14.896787753843448</v>
      </c>
      <c r="AE122" s="17">
        <v>4.4246679268548599</v>
      </c>
      <c r="AF122">
        <f t="shared" si="102"/>
        <v>4.5352846250262306</v>
      </c>
      <c r="AG122" s="17">
        <f t="shared" si="103"/>
        <v>-11.983678502381508</v>
      </c>
      <c r="AH122" s="17">
        <f t="shared" si="104"/>
        <v>-23.967357003367933</v>
      </c>
      <c r="AI122" s="17">
        <f t="shared" si="105"/>
        <v>-2.9131092523290469</v>
      </c>
      <c r="AJ122" s="17">
        <f t="shared" si="106"/>
        <v>-5.8262185043189634</v>
      </c>
      <c r="AK122">
        <f t="shared" si="84"/>
        <v>-1.0513412670662212</v>
      </c>
    </row>
    <row r="123" spans="1:41" x14ac:dyDescent="0.2">
      <c r="A123" t="s">
        <v>207</v>
      </c>
      <c r="B123" s="20">
        <v>42300.666666666664</v>
      </c>
      <c r="C123">
        <f t="shared" si="85"/>
        <v>-0.8164735586548254</v>
      </c>
      <c r="D123">
        <f t="shared" si="86"/>
        <v>-7.2920859840217673</v>
      </c>
      <c r="E123" s="17">
        <f t="shared" si="87"/>
        <v>2.0741315179980404</v>
      </c>
      <c r="F123">
        <f t="shared" si="88"/>
        <v>2.1259848059479918</v>
      </c>
      <c r="G123" s="17">
        <f t="shared" si="78"/>
        <v>3.7204734106564827</v>
      </c>
      <c r="H123" s="17">
        <v>4.8977960018600504</v>
      </c>
      <c r="I123">
        <f t="shared" si="96"/>
        <v>5.0202409019065515</v>
      </c>
      <c r="J123" s="17">
        <f t="shared" si="97"/>
        <v>-2.8942560959585597</v>
      </c>
      <c r="K123" s="17">
        <f t="shared" si="89"/>
        <v>-5.0649481682644151</v>
      </c>
      <c r="L123" s="17">
        <f t="shared" si="98"/>
        <v>7.1462257078545433</v>
      </c>
      <c r="M123" s="17">
        <f t="shared" si="89"/>
        <v>12.505894989577381</v>
      </c>
      <c r="N123">
        <f t="shared" si="79"/>
        <v>12.451639638644338</v>
      </c>
      <c r="O123" s="17">
        <f t="shared" si="80"/>
        <v>-12.185352366560611</v>
      </c>
      <c r="Q123">
        <f t="shared" si="90"/>
        <v>3.4573294391267918E-2</v>
      </c>
      <c r="R123">
        <f t="shared" si="81"/>
        <v>14.021744644835053</v>
      </c>
      <c r="S123">
        <f t="shared" si="82"/>
        <v>-6.0926761832803056</v>
      </c>
      <c r="T123">
        <f t="shared" si="91"/>
        <v>-6.2449930878623139</v>
      </c>
      <c r="U123" s="17">
        <f t="shared" si="92"/>
        <v>-10.928737904486063</v>
      </c>
      <c r="V123" s="17">
        <v>2.55504415249974</v>
      </c>
      <c r="W123">
        <f t="shared" si="99"/>
        <v>2.6189202563122334</v>
      </c>
      <c r="X123" s="17">
        <f t="shared" si="100"/>
        <v>-8.8639133441745468</v>
      </c>
      <c r="Y123" s="17">
        <f t="shared" si="93"/>
        <v>-15.511848353337353</v>
      </c>
      <c r="Z123" s="17">
        <f t="shared" si="101"/>
        <v>-3.6260728315500805</v>
      </c>
      <c r="AA123" s="17">
        <f t="shared" si="93"/>
        <v>-6.3456274556347712</v>
      </c>
      <c r="AB123" s="17">
        <f t="shared" si="83"/>
        <v>-2.0999628959337295</v>
      </c>
      <c r="AC123">
        <f t="shared" si="94"/>
        <v>-2.1524619683320729</v>
      </c>
      <c r="AD123" s="17">
        <f t="shared" si="95"/>
        <v>-3.7668084448317072</v>
      </c>
      <c r="AE123" s="17">
        <v>5.2543241210863503</v>
      </c>
      <c r="AF123">
        <f t="shared" si="102"/>
        <v>5.3856822241135092</v>
      </c>
      <c r="AG123" s="17">
        <f t="shared" si="103"/>
        <v>-7.5381441924455821</v>
      </c>
      <c r="AH123" s="17">
        <f t="shared" si="104"/>
        <v>-13.191752337657324</v>
      </c>
      <c r="AI123" s="17">
        <f t="shared" si="105"/>
        <v>3.2332202557814362</v>
      </c>
      <c r="AJ123" s="17">
        <f t="shared" si="106"/>
        <v>5.6581354479939101</v>
      </c>
      <c r="AK123">
        <f t="shared" si="84"/>
        <v>-0.98769912650089786</v>
      </c>
    </row>
    <row r="124" spans="1:41" x14ac:dyDescent="0.2">
      <c r="A124" t="s">
        <v>208</v>
      </c>
      <c r="B124" s="20">
        <v>42300.739583333336</v>
      </c>
      <c r="C124">
        <f t="shared" si="85"/>
        <v>-0.55745602819511875</v>
      </c>
      <c r="D124">
        <f t="shared" si="86"/>
        <v>-3.45199542260724</v>
      </c>
      <c r="E124" s="17">
        <f t="shared" si="87"/>
        <v>-1.4294371656376397</v>
      </c>
      <c r="F124">
        <f t="shared" si="88"/>
        <v>-1.4651730947785806</v>
      </c>
      <c r="G124" s="17">
        <f t="shared" si="78"/>
        <v>-6.2269856526383993</v>
      </c>
      <c r="H124" s="17">
        <v>2.1173513045234502</v>
      </c>
      <c r="I124">
        <f t="shared" si="96"/>
        <v>2.1702850871365365</v>
      </c>
      <c r="J124" s="17">
        <f t="shared" si="97"/>
        <v>-3.635458181915117</v>
      </c>
      <c r="K124" s="17">
        <f t="shared" si="89"/>
        <v>-15.450697272716024</v>
      </c>
      <c r="L124" s="17">
        <f t="shared" si="98"/>
        <v>0.70511199235795585</v>
      </c>
      <c r="M124" s="17">
        <f t="shared" si="89"/>
        <v>2.9967259674392266</v>
      </c>
      <c r="N124">
        <f t="shared" si="79"/>
        <v>12.282184101852522</v>
      </c>
      <c r="O124" s="17">
        <f t="shared" si="80"/>
        <v>-6.529627240857578</v>
      </c>
      <c r="Q124">
        <f t="shared" si="90"/>
        <v>3.2232875115574412E-2</v>
      </c>
      <c r="R124">
        <f t="shared" si="81"/>
        <v>10.290312642760796</v>
      </c>
      <c r="S124">
        <f t="shared" si="82"/>
        <v>-3.264813620428789</v>
      </c>
      <c r="T124">
        <f t="shared" si="91"/>
        <v>-3.3464339609395091</v>
      </c>
      <c r="U124" s="17">
        <f t="shared" si="92"/>
        <v>-14.222344333603337</v>
      </c>
      <c r="V124" s="17">
        <v>1.1543722214496099</v>
      </c>
      <c r="W124">
        <f t="shared" si="99"/>
        <v>1.1832315269858502</v>
      </c>
      <c r="X124" s="17">
        <f t="shared" si="100"/>
        <v>-4.5296654879253593</v>
      </c>
      <c r="Y124" s="17">
        <f t="shared" si="93"/>
        <v>-19.251078323155454</v>
      </c>
      <c r="Z124" s="17">
        <f t="shared" si="101"/>
        <v>-2.1632024339536589</v>
      </c>
      <c r="AA124" s="17">
        <f t="shared" si="93"/>
        <v>-9.1936103440512209</v>
      </c>
      <c r="AB124" s="17">
        <f t="shared" si="83"/>
        <v>9.3378394335737624</v>
      </c>
      <c r="AC124">
        <f t="shared" si="94"/>
        <v>9.5712854194131065</v>
      </c>
      <c r="AD124" s="17">
        <f t="shared" si="95"/>
        <v>40.677963031391457</v>
      </c>
      <c r="AE124" s="17">
        <v>2.2984299305721598</v>
      </c>
      <c r="AF124">
        <f t="shared" si="102"/>
        <v>2.355890678836464</v>
      </c>
      <c r="AG124" s="17">
        <f t="shared" si="103"/>
        <v>7.2153947405766425</v>
      </c>
      <c r="AH124" s="17">
        <f t="shared" si="104"/>
        <v>30.665427646610748</v>
      </c>
      <c r="AI124" s="17">
        <f t="shared" si="105"/>
        <v>11.927176098249571</v>
      </c>
      <c r="AJ124" s="17">
        <f t="shared" si="106"/>
        <v>50.690498416172176</v>
      </c>
      <c r="AK124">
        <f t="shared" si="84"/>
        <v>-0.15308007551491681</v>
      </c>
    </row>
    <row r="125" spans="1:41" x14ac:dyDescent="0.2">
      <c r="A125" t="s">
        <v>209</v>
      </c>
      <c r="B125" s="20">
        <v>42300.916666666664</v>
      </c>
      <c r="C125">
        <f t="shared" si="85"/>
        <v>0.67662188058040473</v>
      </c>
      <c r="D125">
        <f>(1/$B$108)*$B$113-(1/$B$108)*P100</f>
        <v>4.9535597116607022</v>
      </c>
      <c r="E125" s="17">
        <f t="shared" si="87"/>
        <v>-6.5374792480900288</v>
      </c>
      <c r="F125">
        <f t="shared" si="88"/>
        <v>-6.7009162292922797</v>
      </c>
      <c r="G125" s="17">
        <f t="shared" si="78"/>
        <v>-13.848560207880123</v>
      </c>
      <c r="H125" s="17">
        <v>3.97071679638682</v>
      </c>
      <c r="I125">
        <f t="shared" si="96"/>
        <v>4.0699847162964904</v>
      </c>
      <c r="J125" s="17">
        <f t="shared" si="97"/>
        <v>-10.770900945588771</v>
      </c>
      <c r="K125" s="17">
        <f t="shared" si="89"/>
        <v>-22.259861955303506</v>
      </c>
      <c r="L125" s="17">
        <f t="shared" si="98"/>
        <v>-2.6309315129957893</v>
      </c>
      <c r="M125" s="17">
        <f t="shared" si="89"/>
        <v>-5.4372584604567411</v>
      </c>
      <c r="N125">
        <f t="shared" si="79"/>
        <v>3.3918689532856661</v>
      </c>
      <c r="O125" s="17">
        <f t="shared" si="80"/>
        <v>-0.76750106036964727</v>
      </c>
      <c r="Q125">
        <f t="shared" si="90"/>
        <v>-4.8804409627197086E-2</v>
      </c>
      <c r="R125">
        <f t="shared" si="81"/>
        <v>-15.048297595396321</v>
      </c>
      <c r="S125">
        <f t="shared" si="82"/>
        <v>-0.38375053018482363</v>
      </c>
      <c r="T125">
        <f t="shared" si="91"/>
        <v>-0.39334429343944421</v>
      </c>
      <c r="U125" s="17">
        <f t="shared" si="92"/>
        <v>-0.81291153981453712</v>
      </c>
      <c r="V125" s="17">
        <v>2.15505802145936</v>
      </c>
      <c r="W125">
        <f t="shared" si="99"/>
        <v>2.2089344719958439</v>
      </c>
      <c r="X125" s="17">
        <f t="shared" si="100"/>
        <v>-2.6022787654352881</v>
      </c>
      <c r="Y125" s="17">
        <f t="shared" si="93"/>
        <v>-5.3780427821621481</v>
      </c>
      <c r="Z125" s="17">
        <f t="shared" si="101"/>
        <v>1.8155901785563997</v>
      </c>
      <c r="AA125" s="17">
        <f t="shared" si="93"/>
        <v>3.7522197025330737</v>
      </c>
      <c r="AB125" s="17">
        <f t="shared" si="83"/>
        <v>16.279909033683118</v>
      </c>
      <c r="AC125">
        <f t="shared" si="94"/>
        <v>16.686906759525197</v>
      </c>
      <c r="AD125" s="17">
        <f t="shared" si="95"/>
        <v>34.486273971369002</v>
      </c>
      <c r="AE125" s="17">
        <v>4.3457273271797598</v>
      </c>
      <c r="AF125">
        <f t="shared" si="102"/>
        <v>4.4543705103592535</v>
      </c>
      <c r="AG125" s="17">
        <f t="shared" si="103"/>
        <v>12.232536249165943</v>
      </c>
      <c r="AH125" s="17">
        <f t="shared" si="104"/>
        <v>25.28057491617713</v>
      </c>
      <c r="AI125" s="17">
        <f t="shared" si="105"/>
        <v>21.141277269884451</v>
      </c>
      <c r="AJ125" s="17">
        <f t="shared" si="106"/>
        <v>43.691973026560881</v>
      </c>
      <c r="AK125">
        <f t="shared" si="84"/>
        <v>-0.40156730818114461</v>
      </c>
    </row>
    <row r="126" spans="1:41" x14ac:dyDescent="0.2">
      <c r="A126" t="s">
        <v>210</v>
      </c>
      <c r="B126" s="20">
        <v>42301.00277777778</v>
      </c>
      <c r="C126">
        <f t="shared" si="85"/>
        <v>0.6898370163986286</v>
      </c>
      <c r="D126">
        <f t="shared" si="86"/>
        <v>5.6354076469986296</v>
      </c>
      <c r="E126" s="17">
        <f t="shared" si="87"/>
        <v>-8.4151639684077182</v>
      </c>
      <c r="F126">
        <f t="shared" si="88"/>
        <v>-8.6255430676179117</v>
      </c>
      <c r="G126" s="17">
        <f t="shared" si="78"/>
        <v>-17.251086134231677</v>
      </c>
      <c r="H126" s="17">
        <v>4.1364089650213103</v>
      </c>
      <c r="I126">
        <f t="shared" si="96"/>
        <v>4.2398191891468429</v>
      </c>
      <c r="J126" s="17">
        <f t="shared" si="97"/>
        <v>-12.865362256764755</v>
      </c>
      <c r="K126" s="17">
        <f t="shared" si="89"/>
        <v>-25.730724512031784</v>
      </c>
      <c r="L126" s="17">
        <f t="shared" si="98"/>
        <v>-4.3857238784710688</v>
      </c>
      <c r="M126" s="17">
        <f t="shared" si="89"/>
        <v>-8.7714477564315718</v>
      </c>
      <c r="N126">
        <f t="shared" si="79"/>
        <v>1.4196167185131117</v>
      </c>
      <c r="O126" s="17">
        <f t="shared" si="80"/>
        <v>-1.9636274706528563</v>
      </c>
      <c r="Q126">
        <f t="shared" si="90"/>
        <v>-2.8458429369802557E-2</v>
      </c>
      <c r="R126">
        <f t="shared" si="81"/>
        <v>-15.648800660946108</v>
      </c>
      <c r="S126">
        <f t="shared" si="82"/>
        <v>-0.98181373532642813</v>
      </c>
      <c r="T126">
        <f t="shared" si="91"/>
        <v>-1.0063590787095889</v>
      </c>
      <c r="U126" s="17">
        <f t="shared" si="92"/>
        <v>-2.0127181573020221</v>
      </c>
      <c r="V126" s="17">
        <v>2.2084520744159901</v>
      </c>
      <c r="W126">
        <f t="shared" si="99"/>
        <v>2.2636633762763898</v>
      </c>
      <c r="X126" s="17">
        <f t="shared" si="100"/>
        <v>-3.2700224549859787</v>
      </c>
      <c r="Y126" s="17">
        <f t="shared" si="93"/>
        <v>-6.5400449095912769</v>
      </c>
      <c r="Z126" s="17">
        <f t="shared" si="101"/>
        <v>1.257304297566801</v>
      </c>
      <c r="AA126" s="17">
        <f t="shared" si="93"/>
        <v>2.5146085949872323</v>
      </c>
      <c r="AB126" s="17">
        <f t="shared" si="83"/>
        <v>23.907372220745131</v>
      </c>
      <c r="AC126">
        <f t="shared" si="94"/>
        <v>24.505056526263758</v>
      </c>
      <c r="AD126" s="17">
        <f t="shared" si="95"/>
        <v>49.01011304967475</v>
      </c>
      <c r="AE126" s="17">
        <v>4.4244165179029604</v>
      </c>
      <c r="AF126">
        <f t="shared" si="102"/>
        <v>4.5350269308505347</v>
      </c>
      <c r="AG126" s="17">
        <f t="shared" si="103"/>
        <v>19.970029595413223</v>
      </c>
      <c r="AH126" s="17">
        <f t="shared" si="104"/>
        <v>39.940059188501628</v>
      </c>
      <c r="AI126" s="17">
        <f t="shared" si="105"/>
        <v>29.040083457114292</v>
      </c>
      <c r="AJ126" s="17">
        <f t="shared" si="106"/>
        <v>58.080166910847872</v>
      </c>
      <c r="AK126">
        <f t="shared" si="84"/>
        <v>-0.35199033547926417</v>
      </c>
    </row>
    <row r="127" spans="1:41" x14ac:dyDescent="0.2">
      <c r="A127" t="s">
        <v>211</v>
      </c>
      <c r="B127" s="20">
        <v>42301.086111111108</v>
      </c>
      <c r="C127">
        <f t="shared" si="85"/>
        <v>0.37498855933005215</v>
      </c>
      <c r="D127">
        <f t="shared" si="86"/>
        <v>7.155348959645039</v>
      </c>
      <c r="E127" s="17">
        <f t="shared" si="87"/>
        <v>-7.5085672710183315</v>
      </c>
      <c r="F127">
        <f t="shared" si="88"/>
        <v>-7.6962814527937899</v>
      </c>
      <c r="G127" s="17">
        <f t="shared" si="78"/>
        <v>-14.879477475520789</v>
      </c>
      <c r="H127" s="17">
        <v>4.3693027732403902</v>
      </c>
      <c r="I127">
        <f t="shared" si="96"/>
        <v>4.4785353425714005</v>
      </c>
      <c r="J127" s="17">
        <f t="shared" si="97"/>
        <v>-12.17481679536519</v>
      </c>
      <c r="K127" s="17">
        <f t="shared" si="89"/>
        <v>-23.537979137895015</v>
      </c>
      <c r="L127" s="17">
        <f t="shared" si="98"/>
        <v>-3.2177461102223894</v>
      </c>
      <c r="M127" s="17">
        <f t="shared" si="89"/>
        <v>-6.2209758131465653</v>
      </c>
      <c r="N127">
        <f t="shared" si="79"/>
        <v>1.8152609018644625</v>
      </c>
      <c r="O127" s="17">
        <f t="shared" si="80"/>
        <v>-3.9474057038996069</v>
      </c>
      <c r="Q127">
        <f t="shared" si="90"/>
        <v>-3.2984464084437157E-2</v>
      </c>
      <c r="R127">
        <f t="shared" si="81"/>
        <v>-20.920291129804923</v>
      </c>
      <c r="S127">
        <f t="shared" si="82"/>
        <v>-1.9737028519498034</v>
      </c>
      <c r="T127">
        <f t="shared" si="91"/>
        <v>-2.0230454232485489</v>
      </c>
      <c r="U127" s="17">
        <f t="shared" si="92"/>
        <v>-3.9112211516452629</v>
      </c>
      <c r="V127" s="17">
        <v>2.3074901852663299</v>
      </c>
      <c r="W127">
        <f t="shared" si="99"/>
        <v>2.3651774398979879</v>
      </c>
      <c r="X127" s="17">
        <f t="shared" si="100"/>
        <v>-4.3882228631465363</v>
      </c>
      <c r="Y127" s="17">
        <f t="shared" si="93"/>
        <v>-8.4838975354847506</v>
      </c>
      <c r="Z127" s="17">
        <f t="shared" si="101"/>
        <v>0.34213201664943904</v>
      </c>
      <c r="AA127" s="17">
        <f t="shared" si="93"/>
        <v>0.66145523219422608</v>
      </c>
      <c r="AB127" s="17">
        <f t="shared" si="83"/>
        <v>20.737082175116029</v>
      </c>
      <c r="AC127">
        <f t="shared" si="94"/>
        <v>21.255509229493931</v>
      </c>
      <c r="AD127" s="17">
        <f t="shared" si="95"/>
        <v>41.093984510684862</v>
      </c>
      <c r="AE127" s="17">
        <v>4.6207209320141702</v>
      </c>
      <c r="AF127">
        <f t="shared" si="102"/>
        <v>4.7362389553145245</v>
      </c>
      <c r="AG127" s="17">
        <f t="shared" si="103"/>
        <v>16.519270274179405</v>
      </c>
      <c r="AH127" s="17">
        <f t="shared" si="104"/>
        <v>31.937255863669929</v>
      </c>
      <c r="AI127" s="17">
        <f t="shared" si="105"/>
        <v>25.991748184808458</v>
      </c>
      <c r="AJ127" s="17">
        <f t="shared" si="106"/>
        <v>50.250713157699799</v>
      </c>
      <c r="AK127">
        <f t="shared" si="84"/>
        <v>-0.36208407757714445</v>
      </c>
    </row>
    <row r="128" spans="1:41" x14ac:dyDescent="0.2">
      <c r="A128" t="s">
        <v>212</v>
      </c>
      <c r="B128" s="20">
        <v>42301.166666666664</v>
      </c>
      <c r="C128">
        <f t="shared" si="85"/>
        <v>0.30832728669691484</v>
      </c>
      <c r="D128">
        <f t="shared" si="86"/>
        <v>7.1400438156268393</v>
      </c>
      <c r="E128" s="17">
        <f t="shared" si="87"/>
        <v>-7.9577413995137398</v>
      </c>
      <c r="F128">
        <f t="shared" si="88"/>
        <v>-8.1566849345015839</v>
      </c>
      <c r="G128" s="17">
        <f t="shared" si="78"/>
        <v>-16.313369869477949</v>
      </c>
      <c r="H128" s="17">
        <v>4.1542523936974796</v>
      </c>
      <c r="I128">
        <f t="shared" si="96"/>
        <v>4.258108703539917</v>
      </c>
      <c r="J128" s="17">
        <f t="shared" si="97"/>
        <v>-12.414793638041502</v>
      </c>
      <c r="K128" s="17">
        <f t="shared" si="89"/>
        <v>-24.82958727680564</v>
      </c>
      <c r="L128" s="17">
        <f t="shared" si="98"/>
        <v>-3.8985762309616669</v>
      </c>
      <c r="M128" s="17">
        <f t="shared" si="89"/>
        <v>-7.7971524621502608</v>
      </c>
      <c r="N128">
        <f t="shared" si="79"/>
        <v>3.3142233081556469</v>
      </c>
      <c r="O128" s="17">
        <f t="shared" si="80"/>
        <v>-1.2918666799433511</v>
      </c>
      <c r="Q128">
        <f t="shared" si="90"/>
        <v>-2.7015483468099295E-2</v>
      </c>
      <c r="R128">
        <f t="shared" si="81"/>
        <v>-19.380727690981075</v>
      </c>
      <c r="S128">
        <f t="shared" si="82"/>
        <v>-0.64593333997167557</v>
      </c>
      <c r="T128">
        <f t="shared" si="91"/>
        <v>-0.66208167347096747</v>
      </c>
      <c r="U128" s="17">
        <f t="shared" si="92"/>
        <v>-1.3241633469804732</v>
      </c>
      <c r="V128" s="17">
        <v>2.26453342018086</v>
      </c>
      <c r="W128">
        <f t="shared" si="99"/>
        <v>2.3211467556853815</v>
      </c>
      <c r="X128" s="17">
        <f t="shared" si="100"/>
        <v>-2.9832284291563491</v>
      </c>
      <c r="Y128" s="17">
        <f t="shared" si="93"/>
        <v>-5.9664568584863451</v>
      </c>
      <c r="Z128" s="17">
        <f t="shared" si="101"/>
        <v>1.659065082214414</v>
      </c>
      <c r="AA128" s="17">
        <f t="shared" si="93"/>
        <v>3.3181301645253982</v>
      </c>
      <c r="AB128" s="17">
        <f t="shared" si="83"/>
        <v>22.403564610586741</v>
      </c>
      <c r="AC128">
        <f t="shared" si="94"/>
        <v>22.963653725851412</v>
      </c>
      <c r="AD128" s="17">
        <f t="shared" si="95"/>
        <v>45.927307453039482</v>
      </c>
      <c r="AE128" s="17">
        <v>4.4722752011775002</v>
      </c>
      <c r="AF128">
        <f t="shared" si="102"/>
        <v>4.5840820812069376</v>
      </c>
      <c r="AG128" s="17">
        <f t="shared" si="103"/>
        <v>18.379571644644475</v>
      </c>
      <c r="AH128" s="17">
        <f t="shared" si="104"/>
        <v>36.759143290358779</v>
      </c>
      <c r="AI128" s="17">
        <f t="shared" si="105"/>
        <v>27.547735807058348</v>
      </c>
      <c r="AJ128" s="17">
        <f t="shared" si="106"/>
        <v>55.095471615720186</v>
      </c>
      <c r="AK128">
        <f t="shared" si="84"/>
        <v>-0.35519978797272872</v>
      </c>
    </row>
    <row r="129" spans="1:37" x14ac:dyDescent="0.2">
      <c r="A129" t="s">
        <v>213</v>
      </c>
      <c r="B129" s="20">
        <v>42301.25</v>
      </c>
      <c r="C129">
        <f t="shared" si="85"/>
        <v>0.52776751182833337</v>
      </c>
      <c r="D129">
        <f t="shared" si="86"/>
        <v>7.5104949408666926</v>
      </c>
      <c r="E129" s="17">
        <f t="shared" si="87"/>
        <v>0.44329228391185715</v>
      </c>
      <c r="F129">
        <f t="shared" si="88"/>
        <v>0.45437459100965361</v>
      </c>
      <c r="G129" s="17">
        <f t="shared" si="78"/>
        <v>1.1359364774976859</v>
      </c>
      <c r="H129" s="17"/>
      <c r="N129">
        <f t="shared" si="79"/>
        <v>1.8434184875948176</v>
      </c>
      <c r="O129" s="17">
        <f t="shared" si="80"/>
        <v>-9.1692783378341947</v>
      </c>
      <c r="Q129">
        <f t="shared" si="90"/>
        <v>-4.5697250331312098E-2</v>
      </c>
      <c r="R129">
        <f t="shared" si="81"/>
        <v>-21.089737215515129</v>
      </c>
      <c r="S129">
        <f t="shared" si="82"/>
        <v>-4.5846391689170973</v>
      </c>
      <c r="T129">
        <f t="shared" si="91"/>
        <v>-4.6992551481400247</v>
      </c>
      <c r="U129" s="17">
        <f>($B130-$B129)*24*T129</f>
        <v>-11.74813787007653</v>
      </c>
      <c r="V129" s="17"/>
      <c r="W129" s="17"/>
      <c r="X129" s="17"/>
      <c r="Y129" s="17"/>
      <c r="Z129" s="17"/>
      <c r="AA129" s="17"/>
      <c r="AB129" s="17">
        <f t="shared" si="83"/>
        <v>12.722371797013599</v>
      </c>
      <c r="AC129">
        <f t="shared" si="94"/>
        <v>13.040431091938938</v>
      </c>
      <c r="AD129" s="17">
        <f t="shared" si="95"/>
        <v>32.601077729088296</v>
      </c>
      <c r="AE129" s="17"/>
      <c r="AF129" s="17"/>
      <c r="AG129" s="17"/>
      <c r="AK129">
        <f t="shared" si="84"/>
        <v>3.4843525325671892E-2</v>
      </c>
    </row>
    <row r="130" spans="1:37" x14ac:dyDescent="0.2">
      <c r="A130" t="s">
        <v>214</v>
      </c>
      <c r="B130" s="20">
        <v>42301.354166666664</v>
      </c>
      <c r="C130">
        <f t="shared" si="85"/>
        <v>-0.26088748679314377</v>
      </c>
      <c r="D130" t="s">
        <v>195</v>
      </c>
      <c r="E130" s="17" t="s">
        <v>195</v>
      </c>
      <c r="N130" t="s">
        <v>195</v>
      </c>
      <c r="O130" t="s">
        <v>195</v>
      </c>
      <c r="Q130">
        <f t="shared" si="90"/>
        <v>-3.2289073820648551E-2</v>
      </c>
      <c r="R130" t="s">
        <v>195</v>
      </c>
      <c r="S130" t="s">
        <v>195</v>
      </c>
      <c r="U130" s="17"/>
      <c r="V130" s="17"/>
      <c r="W130" s="17"/>
      <c r="X130" s="17"/>
      <c r="Y130" s="17"/>
      <c r="Z130" s="17"/>
      <c r="AA130" s="17"/>
      <c r="AB130" s="17" t="s">
        <v>195</v>
      </c>
      <c r="AK130" t="s">
        <v>195</v>
      </c>
    </row>
    <row r="132" spans="1:37" x14ac:dyDescent="0.2">
      <c r="A132" t="s">
        <v>320</v>
      </c>
      <c r="B132" s="17">
        <f>SUM(G118:G128)</f>
        <v>20.204493376907816</v>
      </c>
      <c r="C132" t="s">
        <v>402</v>
      </c>
      <c r="D132" s="17">
        <f>SUM(M118:M128)</f>
        <v>115.14521097660052</v>
      </c>
      <c r="E132" t="s">
        <v>403</v>
      </c>
      <c r="F132" s="17">
        <f>SUM(K118:K128)</f>
        <v>-74.736224222784884</v>
      </c>
      <c r="G132" s="17" t="s">
        <v>404</v>
      </c>
      <c r="H132" s="17">
        <f>D132-B132</f>
        <v>94.940717599692704</v>
      </c>
    </row>
    <row r="133" spans="1:37" x14ac:dyDescent="0.2">
      <c r="A133" t="s">
        <v>321</v>
      </c>
      <c r="B133" s="17">
        <f>SUM(AD118:AD128)</f>
        <v>140.7856492489594</v>
      </c>
      <c r="C133" t="s">
        <v>402</v>
      </c>
      <c r="D133" s="17">
        <f>SUM(AJ118:AJ128)</f>
        <v>242.6082881849558</v>
      </c>
      <c r="E133" t="s">
        <v>403</v>
      </c>
      <c r="F133" s="17">
        <f>SUM(AH118:AH128)</f>
        <v>38.963010312963078</v>
      </c>
      <c r="G133" s="17" t="s">
        <v>404</v>
      </c>
      <c r="H133" s="17">
        <f>D133-B133</f>
        <v>101.82263893599639</v>
      </c>
    </row>
    <row r="134" spans="1:37" x14ac:dyDescent="0.2">
      <c r="A134" t="s">
        <v>322</v>
      </c>
      <c r="B134" s="17">
        <f>SUM(U118:U128)</f>
        <v>-75.095602620080399</v>
      </c>
      <c r="C134" t="s">
        <v>402</v>
      </c>
      <c r="D134" s="17">
        <f>SUM(AA118:AA128)</f>
        <v>-24.357328075104704</v>
      </c>
      <c r="E134" t="s">
        <v>403</v>
      </c>
      <c r="F134" s="17">
        <f>SUM(Y118:Y128)</f>
        <v>-125.83387716505612</v>
      </c>
      <c r="G134" s="17" t="s">
        <v>404</v>
      </c>
      <c r="H134" s="17">
        <f>D134-B134</f>
        <v>50.738274544975695</v>
      </c>
    </row>
    <row r="136" spans="1:37" x14ac:dyDescent="0.2">
      <c r="A136" s="10" t="s">
        <v>86</v>
      </c>
    </row>
    <row r="137" spans="1:37" x14ac:dyDescent="0.2">
      <c r="A137" t="s">
        <v>71</v>
      </c>
      <c r="B137" t="s">
        <v>72</v>
      </c>
      <c r="C137" t="s">
        <v>21</v>
      </c>
      <c r="D137" t="s">
        <v>81</v>
      </c>
      <c r="E137" t="s">
        <v>73</v>
      </c>
      <c r="G137" t="s">
        <v>82</v>
      </c>
      <c r="H137" t="s">
        <v>74</v>
      </c>
      <c r="I137" t="s">
        <v>75</v>
      </c>
      <c r="J137" t="s">
        <v>76</v>
      </c>
      <c r="K137" t="s">
        <v>77</v>
      </c>
      <c r="M137" t="s">
        <v>78</v>
      </c>
      <c r="O137" t="s">
        <v>83</v>
      </c>
      <c r="P137" s="2" t="s">
        <v>300</v>
      </c>
      <c r="Q137" t="s">
        <v>79</v>
      </c>
      <c r="R137" t="s">
        <v>80</v>
      </c>
      <c r="T137" t="s">
        <v>68</v>
      </c>
      <c r="U137" s="2" t="s">
        <v>310</v>
      </c>
      <c r="V137" s="2" t="s">
        <v>312</v>
      </c>
      <c r="W137" s="2" t="s">
        <v>311</v>
      </c>
      <c r="X137" s="2" t="s">
        <v>313</v>
      </c>
    </row>
    <row r="138" spans="1:37" x14ac:dyDescent="0.2">
      <c r="A138" s="20">
        <v>42817.4375</v>
      </c>
      <c r="B138" s="17">
        <v>29.844799999999999</v>
      </c>
      <c r="C138" s="17">
        <v>35.829599999999999</v>
      </c>
      <c r="D138">
        <v>2303.71</v>
      </c>
      <c r="E138" s="18">
        <f>(D138/C138)*35.4</f>
        <v>2276.0883180387168</v>
      </c>
      <c r="G138" s="17">
        <v>1975.59</v>
      </c>
      <c r="H138" s="18">
        <f>(G138/C138)*35.4</f>
        <v>1951.9025051912383</v>
      </c>
      <c r="I138" s="12">
        <v>1981.0821533203125</v>
      </c>
      <c r="J138" s="31">
        <v>10.835258116320906</v>
      </c>
      <c r="K138" s="31">
        <v>10.032578281191908</v>
      </c>
      <c r="M138" s="15">
        <v>8.0093479156494141</v>
      </c>
      <c r="O138" s="17">
        <v>215.31</v>
      </c>
      <c r="P138" s="18">
        <f t="shared" ref="P138:P151" si="107">(O138/C138)*35.4</f>
        <v>212.72841449527766</v>
      </c>
      <c r="Q138" s="17">
        <v>189.851428292349</v>
      </c>
      <c r="R138" s="17">
        <f>Q138/1.025</f>
        <v>185.2209056510722</v>
      </c>
      <c r="S138" s="17"/>
      <c r="T138" s="17">
        <v>7.1526399999999999</v>
      </c>
      <c r="U138" s="17">
        <f>'All Experimental Diel Data'!U52</f>
        <v>352.02790951456791</v>
      </c>
      <c r="V138">
        <f>(0.251*(T138)^2*(U138/660)^(-0.5))/100</f>
        <v>0.17582874453004574</v>
      </c>
      <c r="W138" s="17">
        <f>'All Experimental Diel Data'!W52</f>
        <v>413.81605051680936</v>
      </c>
      <c r="X138">
        <f>(0.251*(T138)^2*(W138/660)^(-0.5))/100</f>
        <v>0.16217158363739748</v>
      </c>
    </row>
    <row r="139" spans="1:37" x14ac:dyDescent="0.2">
      <c r="A139" s="20">
        <v>42817.5</v>
      </c>
      <c r="B139" s="17">
        <v>30.578099999999999</v>
      </c>
      <c r="C139" s="17">
        <v>35.902900000000002</v>
      </c>
      <c r="D139">
        <v>2306.1999999999998</v>
      </c>
      <c r="E139" s="18">
        <f t="shared" ref="E139:E151" si="108">(D139/C139)*35.4</f>
        <v>2273.8965376055971</v>
      </c>
      <c r="G139" s="17">
        <v>1918.7350000000001</v>
      </c>
      <c r="H139" s="18">
        <f t="shared" ref="H139:H151" si="109">(G139/C139)*35.4</f>
        <v>1891.858847056923</v>
      </c>
      <c r="I139" s="12">
        <v>1974.2073974609375</v>
      </c>
      <c r="J139" s="31">
        <v>8.4505994075155009</v>
      </c>
      <c r="K139" s="31">
        <v>9.862929576567435</v>
      </c>
      <c r="M139" s="15">
        <v>8.0876655578613281</v>
      </c>
      <c r="O139" s="17">
        <v>250.48</v>
      </c>
      <c r="P139" s="18">
        <f t="shared" si="107"/>
        <v>246.97147027120369</v>
      </c>
      <c r="Q139" s="17">
        <v>187.62488063931099</v>
      </c>
      <c r="R139" s="17">
        <f t="shared" ref="R139:R151" si="110">Q139/1.025</f>
        <v>183.0486640383522</v>
      </c>
      <c r="S139" s="17"/>
      <c r="T139" s="17">
        <v>7.1526399999999999</v>
      </c>
      <c r="U139" s="17">
        <f>'All Experimental Diel Data'!U53</f>
        <v>339.73319517045684</v>
      </c>
      <c r="V139">
        <f t="shared" ref="V139:V151" si="111">(0.251*(T139)^2*(U139/660)^(-0.5))/100</f>
        <v>0.17898203086483364</v>
      </c>
      <c r="W139" s="17">
        <f>'All Experimental Diel Data'!W53</f>
        <v>399.4780841457432</v>
      </c>
      <c r="X139">
        <f t="shared" ref="X139:X151" si="112">(0.251*(T139)^2*(W139/660)^(-0.5))/100</f>
        <v>0.1650562387208224</v>
      </c>
    </row>
    <row r="140" spans="1:37" x14ac:dyDescent="0.2">
      <c r="A140" s="20">
        <f t="shared" ref="A140:A151" si="113">A139+(1/24*2)</f>
        <v>42817.583333333336</v>
      </c>
      <c r="B140" s="17">
        <v>31.066199999999998</v>
      </c>
      <c r="C140" s="17">
        <v>35.922899999999998</v>
      </c>
      <c r="D140">
        <v>2288.5500000000002</v>
      </c>
      <c r="E140" s="18">
        <f t="shared" si="108"/>
        <v>2255.2374669082956</v>
      </c>
      <c r="G140" s="17">
        <v>1893.2150000000001</v>
      </c>
      <c r="H140" s="18">
        <f t="shared" si="109"/>
        <v>1865.6570321438414</v>
      </c>
      <c r="I140" s="12">
        <v>1969.7845458984375</v>
      </c>
      <c r="J140" s="31">
        <v>8.0951190332559726</v>
      </c>
      <c r="K140" s="31">
        <v>9.7543111413798602</v>
      </c>
      <c r="M140" s="15">
        <v>8.0947809219360352</v>
      </c>
      <c r="O140" s="17">
        <v>264.07</v>
      </c>
      <c r="P140" s="18">
        <f t="shared" si="107"/>
        <v>260.22615100673943</v>
      </c>
      <c r="Q140" s="17">
        <v>186.20328146245299</v>
      </c>
      <c r="R140" s="17">
        <f t="shared" si="110"/>
        <v>181.66173801214927</v>
      </c>
      <c r="S140" s="17"/>
      <c r="T140" s="17">
        <v>7.5996800000000002</v>
      </c>
      <c r="U140" s="17">
        <f>'All Experimental Diel Data'!U54</f>
        <v>331.81014947221468</v>
      </c>
      <c r="V140">
        <f t="shared" si="111"/>
        <v>0.20445204919648069</v>
      </c>
      <c r="W140" s="17">
        <f>'All Experimental Diel Data'!W54</f>
        <v>390.23628061416946</v>
      </c>
      <c r="X140">
        <f t="shared" si="112"/>
        <v>0.18852653217722232</v>
      </c>
    </row>
    <row r="141" spans="1:37" x14ac:dyDescent="0.2">
      <c r="A141" s="20">
        <f t="shared" si="113"/>
        <v>42817.666666666672</v>
      </c>
      <c r="B141" s="17">
        <v>31.084599999999998</v>
      </c>
      <c r="C141" s="17">
        <v>35.941299999999998</v>
      </c>
      <c r="D141">
        <v>2274.08</v>
      </c>
      <c r="E141" s="18">
        <f t="shared" si="108"/>
        <v>2239.8308352786348</v>
      </c>
      <c r="G141" s="17">
        <v>1847.53</v>
      </c>
      <c r="H141" s="18">
        <f t="shared" si="109"/>
        <v>1819.7049633708295</v>
      </c>
      <c r="I141" s="12">
        <v>1969.5111083984375</v>
      </c>
      <c r="J141" s="31">
        <v>6.9819268999897925</v>
      </c>
      <c r="K141" s="31">
        <v>9.7494145539233923</v>
      </c>
      <c r="M141" s="15">
        <v>8.1412773132324219</v>
      </c>
      <c r="O141" s="17">
        <v>275.24</v>
      </c>
      <c r="P141" s="18">
        <f t="shared" si="107"/>
        <v>271.094701638505</v>
      </c>
      <c r="Q141" s="17">
        <v>186.12978027953699</v>
      </c>
      <c r="R141" s="17">
        <f t="shared" si="110"/>
        <v>181.59002954101172</v>
      </c>
      <c r="S141" s="17"/>
      <c r="T141" s="17">
        <v>7.5996800000000002</v>
      </c>
      <c r="U141" s="17">
        <f>'All Experimental Diel Data'!U55</f>
        <v>331.51561046453162</v>
      </c>
      <c r="V141">
        <f t="shared" si="111"/>
        <v>0.20454285296579278</v>
      </c>
      <c r="W141" s="17">
        <f>'All Experimental Diel Data'!W55</f>
        <v>389.89261269600502</v>
      </c>
      <c r="X141">
        <f t="shared" si="112"/>
        <v>0.18860960152469392</v>
      </c>
    </row>
    <row r="142" spans="1:37" x14ac:dyDescent="0.2">
      <c r="A142" s="20">
        <f t="shared" si="113"/>
        <v>42817.750000000007</v>
      </c>
      <c r="B142" s="17">
        <v>30.381799999999998</v>
      </c>
      <c r="C142" s="17">
        <v>35.945399999999999</v>
      </c>
      <c r="D142">
        <v>2298.0700000000002</v>
      </c>
      <c r="E142" s="18">
        <f t="shared" si="108"/>
        <v>2263.2013553890069</v>
      </c>
      <c r="G142" s="17">
        <v>1883.5149999999999</v>
      </c>
      <c r="H142" s="18">
        <f t="shared" si="109"/>
        <v>1854.9364035453768</v>
      </c>
      <c r="I142" s="12">
        <v>1975.6800537109375</v>
      </c>
      <c r="J142" s="31">
        <v>7.4435338766004699</v>
      </c>
      <c r="K142" s="31">
        <v>9.9047740040776606</v>
      </c>
      <c r="M142" s="15">
        <v>8.1303377151489258</v>
      </c>
      <c r="O142" s="17">
        <v>243.58</v>
      </c>
      <c r="P142" s="18">
        <f t="shared" si="107"/>
        <v>239.88415763908597</v>
      </c>
      <c r="Q142" s="17">
        <v>188.14340738636699</v>
      </c>
      <c r="R142" s="17">
        <f t="shared" si="110"/>
        <v>183.55454379157757</v>
      </c>
      <c r="S142" s="17"/>
      <c r="T142" s="17">
        <v>7.1526399999999999</v>
      </c>
      <c r="U142" s="17">
        <f>'All Experimental Diel Data'!U56</f>
        <v>342.97869418727953</v>
      </c>
      <c r="V142">
        <f t="shared" si="111"/>
        <v>0.17813319281643428</v>
      </c>
      <c r="W142" s="17">
        <f>'All Experimental Diel Data'!W56</f>
        <v>403.26288192330901</v>
      </c>
      <c r="X142">
        <f t="shared" si="112"/>
        <v>0.16427985039749507</v>
      </c>
    </row>
    <row r="143" spans="1:37" x14ac:dyDescent="0.2">
      <c r="A143" s="20">
        <f t="shared" si="113"/>
        <v>42817.833333333343</v>
      </c>
      <c r="B143" s="17">
        <v>29.067699999999999</v>
      </c>
      <c r="C143" s="17">
        <v>35.928600000000003</v>
      </c>
      <c r="D143">
        <v>2336.9</v>
      </c>
      <c r="E143" s="18">
        <f t="shared" si="108"/>
        <v>2302.5183280172341</v>
      </c>
      <c r="G143" s="17">
        <v>1980.085</v>
      </c>
      <c r="H143" s="18">
        <f t="shared" si="109"/>
        <v>1950.9529733972374</v>
      </c>
      <c r="I143" s="12">
        <v>1987.28662109375</v>
      </c>
      <c r="J143" s="31">
        <v>9.7171961058394825</v>
      </c>
      <c r="K143" s="31">
        <v>10.209257077732754</v>
      </c>
      <c r="M143" s="15">
        <v>8.0587358474731445</v>
      </c>
      <c r="O143" s="17">
        <v>195.94</v>
      </c>
      <c r="P143" s="18">
        <f t="shared" si="107"/>
        <v>193.05723017317678</v>
      </c>
      <c r="Q143" s="17">
        <v>192.05365050670599</v>
      </c>
      <c r="R143" s="17">
        <f t="shared" si="110"/>
        <v>187.36941512849367</v>
      </c>
      <c r="S143" s="17"/>
      <c r="T143" s="17">
        <v>7.1526399999999999</v>
      </c>
      <c r="U143" s="17">
        <f>'All Experimental Diel Data'!U57</f>
        <v>365.56143428830251</v>
      </c>
      <c r="V143">
        <f t="shared" si="111"/>
        <v>0.17254335450200231</v>
      </c>
      <c r="W143" s="17">
        <f>'All Experimental Diel Data'!W57</f>
        <v>429.60758378996934</v>
      </c>
      <c r="X143">
        <f t="shared" si="112"/>
        <v>0.15916312365023091</v>
      </c>
    </row>
    <row r="144" spans="1:37" x14ac:dyDescent="0.2">
      <c r="A144" s="20">
        <f t="shared" si="113"/>
        <v>42817.916666666679</v>
      </c>
      <c r="B144" s="17">
        <v>28.724799999999998</v>
      </c>
      <c r="C144" s="17">
        <v>35.919400000000003</v>
      </c>
      <c r="D144">
        <v>2361.9899999999998</v>
      </c>
      <c r="E144" s="18">
        <f t="shared" si="108"/>
        <v>2327.8352645088721</v>
      </c>
      <c r="G144" s="17">
        <v>2045.2950000000001</v>
      </c>
      <c r="H144" s="18">
        <f t="shared" si="109"/>
        <v>2015.7197224897964</v>
      </c>
      <c r="I144" s="12">
        <v>1990.3271484375</v>
      </c>
      <c r="J144" s="31">
        <v>11.844834026201838</v>
      </c>
      <c r="K144" s="31">
        <v>10.291814136958099</v>
      </c>
      <c r="M144" s="15">
        <v>7.997105598449707</v>
      </c>
      <c r="O144" s="17">
        <v>159.34</v>
      </c>
      <c r="P144" s="18">
        <f t="shared" si="107"/>
        <v>157.03591930822896</v>
      </c>
      <c r="Q144" s="17">
        <v>193.10584838530801</v>
      </c>
      <c r="R144" s="17">
        <f t="shared" si="110"/>
        <v>188.39594964420294</v>
      </c>
      <c r="S144" s="17"/>
      <c r="T144" s="17">
        <v>6.7055999999999996</v>
      </c>
      <c r="U144" s="17">
        <f>'All Experimental Diel Data'!U58</f>
        <v>371.69719948239992</v>
      </c>
      <c r="V144">
        <f t="shared" si="111"/>
        <v>0.15039255298590362</v>
      </c>
      <c r="W144" s="17">
        <f>'All Experimental Diel Data'!W58</f>
        <v>436.77321609262708</v>
      </c>
      <c r="X144">
        <f t="shared" si="112"/>
        <v>0.13873721649193985</v>
      </c>
    </row>
    <row r="145" spans="1:24" x14ac:dyDescent="0.2">
      <c r="A145" s="20">
        <f t="shared" si="113"/>
        <v>42818.000000000015</v>
      </c>
      <c r="B145" s="17">
        <v>28.614899999999999</v>
      </c>
      <c r="C145" s="17">
        <v>35.895000000000003</v>
      </c>
      <c r="D145">
        <v>2332.46</v>
      </c>
      <c r="E145" s="18">
        <f t="shared" si="108"/>
        <v>2300.2948600083573</v>
      </c>
      <c r="G145" s="17">
        <v>2049.2649999999999</v>
      </c>
      <c r="H145" s="18">
        <f t="shared" si="109"/>
        <v>2021.0051817801918</v>
      </c>
      <c r="I145" s="12">
        <v>1991.4259033203125</v>
      </c>
      <c r="J145" s="31">
        <v>13.487056244496218</v>
      </c>
      <c r="K145" s="31">
        <v>10.31964726780528</v>
      </c>
      <c r="M145" s="15">
        <v>7.9475898742675781</v>
      </c>
      <c r="O145" s="17">
        <v>155.36000000000001</v>
      </c>
      <c r="P145" s="18">
        <f t="shared" si="107"/>
        <v>153.21755119097367</v>
      </c>
      <c r="Q145" s="17">
        <v>193.471522773521</v>
      </c>
      <c r="R145" s="17">
        <f t="shared" si="110"/>
        <v>188.75270514489856</v>
      </c>
      <c r="S145" s="17"/>
      <c r="T145" s="17">
        <v>6.7055999999999996</v>
      </c>
      <c r="U145" s="17">
        <f>'All Experimental Diel Data'!U59</f>
        <v>373.68499769923847</v>
      </c>
      <c r="V145">
        <f t="shared" si="111"/>
        <v>0.14999201687420596</v>
      </c>
      <c r="W145" s="17">
        <f>'All Experimental Diel Data'!W59</f>
        <v>439.0956808871797</v>
      </c>
      <c r="X145">
        <f t="shared" si="112"/>
        <v>0.13836982561695332</v>
      </c>
    </row>
    <row r="146" spans="1:24" x14ac:dyDescent="0.2">
      <c r="A146" s="20">
        <f t="shared" si="113"/>
        <v>42818.08333333335</v>
      </c>
      <c r="B146" s="17">
        <v>28.509899999999998</v>
      </c>
      <c r="C146" s="17">
        <v>35.891399999999997</v>
      </c>
      <c r="D146">
        <v>2349.64</v>
      </c>
      <c r="E146" s="18">
        <f t="shared" si="108"/>
        <v>2317.4703689463213</v>
      </c>
      <c r="G146" s="17">
        <v>2064.71</v>
      </c>
      <c r="H146" s="18">
        <f t="shared" si="109"/>
        <v>2036.4414316521506</v>
      </c>
      <c r="I146" s="12">
        <v>1992.3592529296875</v>
      </c>
      <c r="J146" s="31">
        <v>13.550043301301324</v>
      </c>
      <c r="K146" s="31">
        <v>10.345337938606932</v>
      </c>
      <c r="M146" s="15">
        <v>7.9496235847473145</v>
      </c>
      <c r="O146" s="17">
        <v>150.41999999999999</v>
      </c>
      <c r="P146" s="18">
        <f t="shared" si="107"/>
        <v>148.36055433892241</v>
      </c>
      <c r="Q146" s="17">
        <v>193.79807115144899</v>
      </c>
      <c r="R146" s="17">
        <f t="shared" si="110"/>
        <v>189.07128892824295</v>
      </c>
      <c r="S146" s="17"/>
      <c r="T146" s="17">
        <v>6.2585600000000001</v>
      </c>
      <c r="U146" s="17">
        <f>'All Experimental Diel Data'!U60</f>
        <v>375.59383577320136</v>
      </c>
      <c r="V146">
        <f t="shared" si="111"/>
        <v>0.13032727101673688</v>
      </c>
      <c r="W146" s="17">
        <f>'All Experimental Diel Data'!W60</f>
        <v>441.32639505877376</v>
      </c>
      <c r="X146">
        <f t="shared" si="112"/>
        <v>0.12023047921379426</v>
      </c>
    </row>
    <row r="147" spans="1:24" x14ac:dyDescent="0.2">
      <c r="A147" s="20">
        <f>A146+(1/24*4)</f>
        <v>42818.250000000015</v>
      </c>
      <c r="B147" s="17">
        <v>28.384</v>
      </c>
      <c r="C147" s="17">
        <v>35.929499999999997</v>
      </c>
      <c r="D147">
        <v>2338.83</v>
      </c>
      <c r="E147" s="18">
        <f t="shared" si="108"/>
        <v>2304.3622093265976</v>
      </c>
      <c r="G147" s="17">
        <v>2072.4349999999999</v>
      </c>
      <c r="H147" s="18">
        <f t="shared" si="109"/>
        <v>2041.8931240345678</v>
      </c>
      <c r="I147" s="12">
        <v>1993.2293701171875</v>
      </c>
      <c r="J147" s="31">
        <v>14.677173838767649</v>
      </c>
      <c r="K147" s="31">
        <v>10.374073845011763</v>
      </c>
      <c r="M147" s="15">
        <v>7.9201803207397461</v>
      </c>
      <c r="O147" s="17">
        <v>149.16999999999999</v>
      </c>
      <c r="P147" s="18">
        <f t="shared" si="107"/>
        <v>146.97165282010604</v>
      </c>
      <c r="Q147" s="17">
        <v>194.13918623133301</v>
      </c>
      <c r="R147" s="17">
        <f t="shared" si="110"/>
        <v>189.4040841281298</v>
      </c>
      <c r="S147" s="17"/>
      <c r="T147" s="17">
        <v>7.1526399999999999</v>
      </c>
      <c r="U147" s="17">
        <f>'All Experimental Diel Data'!U61</f>
        <v>377.89510127124265</v>
      </c>
      <c r="V147">
        <f t="shared" si="111"/>
        <v>0.16970427877558283</v>
      </c>
      <c r="W147" s="17">
        <f>'All Experimental Diel Data'!W61</f>
        <v>444.0163876418531</v>
      </c>
      <c r="X147">
        <f t="shared" si="112"/>
        <v>0.15655931908938278</v>
      </c>
    </row>
    <row r="148" spans="1:24" x14ac:dyDescent="0.2">
      <c r="A148" s="20">
        <f t="shared" si="113"/>
        <v>42818.33333333335</v>
      </c>
      <c r="B148" s="17">
        <v>28.650400000000001</v>
      </c>
      <c r="C148" s="17">
        <v>35.924500000000002</v>
      </c>
      <c r="D148">
        <v>2347.17</v>
      </c>
      <c r="E148" s="18">
        <f t="shared" si="108"/>
        <v>2312.9011677267604</v>
      </c>
      <c r="G148" s="17">
        <v>2040.4349999999999</v>
      </c>
      <c r="H148" s="18">
        <f t="shared" si="109"/>
        <v>2010.6445183649041</v>
      </c>
      <c r="I148" s="12">
        <v>1990.944091796875</v>
      </c>
      <c r="J148" s="31">
        <v>12.230845883907417</v>
      </c>
      <c r="K148" s="31">
        <v>10.309519750247411</v>
      </c>
      <c r="M148" s="15">
        <v>7.9841575622558594</v>
      </c>
      <c r="O148" s="17">
        <v>163.96</v>
      </c>
      <c r="P148" s="18">
        <f t="shared" si="107"/>
        <v>161.56617350276275</v>
      </c>
      <c r="Q148" s="17">
        <v>193.326999542972</v>
      </c>
      <c r="R148" s="17">
        <f t="shared" si="110"/>
        <v>188.61170687119221</v>
      </c>
      <c r="S148" s="17"/>
      <c r="T148" s="17">
        <v>7.5996800000000002</v>
      </c>
      <c r="U148" s="17">
        <f>'All Experimental Diel Data'!U62</f>
        <v>373.04176639798789</v>
      </c>
      <c r="V148">
        <f t="shared" si="111"/>
        <v>0.19282243878095404</v>
      </c>
      <c r="W148" s="17">
        <f>'All Experimental Diel Data'!W62</f>
        <v>438.3440972484749</v>
      </c>
      <c r="X148">
        <f t="shared" si="112"/>
        <v>0.17788065482114768</v>
      </c>
    </row>
    <row r="149" spans="1:24" x14ac:dyDescent="0.2">
      <c r="A149" s="20">
        <f t="shared" si="113"/>
        <v>42818.416666666686</v>
      </c>
      <c r="B149" s="17">
        <v>29.567</v>
      </c>
      <c r="C149" s="17">
        <v>35.929900000000004</v>
      </c>
      <c r="D149">
        <v>2299.5500000000002</v>
      </c>
      <c r="E149" s="18">
        <f t="shared" si="108"/>
        <v>2265.6358631668886</v>
      </c>
      <c r="G149" s="17">
        <v>1982.085</v>
      </c>
      <c r="H149" s="18">
        <f t="shared" si="109"/>
        <v>1952.8528885412984</v>
      </c>
      <c r="I149" s="12">
        <v>1982.918212890625</v>
      </c>
      <c r="J149" s="31">
        <v>11.313035231539033</v>
      </c>
      <c r="K149" s="31">
        <v>10.091806130211678</v>
      </c>
      <c r="M149" s="15">
        <v>7.9956655502319336</v>
      </c>
      <c r="O149" s="17">
        <v>212.76</v>
      </c>
      <c r="P149" s="18">
        <f t="shared" si="107"/>
        <v>209.6221809690536</v>
      </c>
      <c r="Q149" s="17">
        <v>190.55559432602399</v>
      </c>
      <c r="R149" s="17">
        <f t="shared" si="110"/>
        <v>185.90789690343806</v>
      </c>
      <c r="S149" s="17"/>
      <c r="T149" s="17">
        <v>6.7055999999999996</v>
      </c>
      <c r="U149" s="17">
        <f>'All Experimental Diel Data'!U63</f>
        <v>356.80661649797003</v>
      </c>
      <c r="V149">
        <f t="shared" si="111"/>
        <v>0.15349863811394449</v>
      </c>
      <c r="W149" s="17">
        <f>'All Experimental Diel Data'!W63</f>
        <v>419.39035425932855</v>
      </c>
      <c r="X149">
        <f t="shared" si="112"/>
        <v>0.14158321093432047</v>
      </c>
    </row>
    <row r="150" spans="1:24" x14ac:dyDescent="0.2">
      <c r="A150" s="20">
        <f t="shared" si="113"/>
        <v>42818.500000000022</v>
      </c>
      <c r="B150" s="17">
        <v>30.4209</v>
      </c>
      <c r="C150" s="17">
        <v>35.928800000000003</v>
      </c>
      <c r="D150">
        <v>2304.85</v>
      </c>
      <c r="E150" s="18">
        <f t="shared" si="108"/>
        <v>2270.9272227293977</v>
      </c>
      <c r="G150" s="17">
        <v>1913.22</v>
      </c>
      <c r="H150" s="18">
        <f t="shared" si="109"/>
        <v>1885.0612322148247</v>
      </c>
      <c r="I150" s="12">
        <v>1975.435302734375</v>
      </c>
      <c r="J150" s="31">
        <v>8.2717359701487734</v>
      </c>
      <c r="K150" s="31">
        <v>9.8968105458640583</v>
      </c>
      <c r="M150" s="15">
        <v>8.0959482192993164</v>
      </c>
      <c r="O150" s="17">
        <v>254.13</v>
      </c>
      <c r="P150" s="18">
        <f t="shared" si="107"/>
        <v>250.38971521453539</v>
      </c>
      <c r="Q150" s="17">
        <v>188.04939343155201</v>
      </c>
      <c r="R150" s="17">
        <f t="shared" si="110"/>
        <v>183.46282286005075</v>
      </c>
      <c r="S150" s="17"/>
      <c r="T150" s="17">
        <v>7.1526399999999999</v>
      </c>
      <c r="U150" s="17">
        <f>'All Experimental Diel Data'!U64</f>
        <v>342.32955855186424</v>
      </c>
      <c r="V150">
        <f t="shared" si="111"/>
        <v>0.17830200359514647</v>
      </c>
      <c r="W150" s="17">
        <f>'All Experimental Diel Data'!W64</f>
        <v>402.50589674265461</v>
      </c>
      <c r="X150">
        <f t="shared" si="112"/>
        <v>0.16443425682855436</v>
      </c>
    </row>
    <row r="151" spans="1:24" x14ac:dyDescent="0.2">
      <c r="A151" s="20">
        <f t="shared" si="113"/>
        <v>42818.583333333358</v>
      </c>
      <c r="B151" s="17">
        <v>30.9208</v>
      </c>
      <c r="C151" s="17">
        <v>35.934100000000001</v>
      </c>
      <c r="D151">
        <v>2285.23</v>
      </c>
      <c r="E151" s="18">
        <f t="shared" si="108"/>
        <v>2251.2638969669479</v>
      </c>
      <c r="G151" s="17">
        <v>1883.95</v>
      </c>
      <c r="H151" s="18">
        <f t="shared" si="109"/>
        <v>1855.9482497126683</v>
      </c>
      <c r="I151" s="12">
        <v>1971.0003662109375</v>
      </c>
      <c r="J151" s="31">
        <v>7.8465095281396708</v>
      </c>
      <c r="K151" s="31">
        <v>9.7856053853737777</v>
      </c>
      <c r="M151" s="15">
        <v>8.1059455871582031</v>
      </c>
      <c r="O151" s="17">
        <v>264.52999999999997</v>
      </c>
      <c r="P151" s="18">
        <f t="shared" si="107"/>
        <v>260.59820616072193</v>
      </c>
      <c r="Q151" s="17">
        <v>186.604770199109</v>
      </c>
      <c r="R151" s="17">
        <f t="shared" si="110"/>
        <v>182.05343434059415</v>
      </c>
      <c r="S151" s="17"/>
      <c r="T151" s="17">
        <v>7.1526399999999999</v>
      </c>
      <c r="U151" s="17">
        <f>'All Experimental Diel Data'!U65</f>
        <v>334.14827514989861</v>
      </c>
      <c r="V151">
        <f t="shared" si="111"/>
        <v>0.18047157628837732</v>
      </c>
      <c r="W151" s="17">
        <f>'All Experimental Diel Data'!W65</f>
        <v>392.96408089355486</v>
      </c>
      <c r="X151">
        <f t="shared" si="112"/>
        <v>0.16641865043857407</v>
      </c>
    </row>
    <row r="153" spans="1:24" x14ac:dyDescent="0.2">
      <c r="A153" s="33" t="s">
        <v>155</v>
      </c>
      <c r="B153" s="34">
        <v>400</v>
      </c>
    </row>
    <row r="154" spans="1:24" x14ac:dyDescent="0.2">
      <c r="A154" s="33" t="s">
        <v>156</v>
      </c>
      <c r="B154" s="34">
        <v>5.8</v>
      </c>
    </row>
    <row r="155" spans="1:24" x14ac:dyDescent="0.2">
      <c r="A155" s="33" t="s">
        <v>157</v>
      </c>
      <c r="B155" s="34">
        <v>1</v>
      </c>
    </row>
    <row r="156" spans="1:24" x14ac:dyDescent="0.2">
      <c r="A156" s="33" t="s">
        <v>158</v>
      </c>
      <c r="B156" s="34">
        <v>1.0249999999999999</v>
      </c>
    </row>
    <row r="157" spans="1:24" x14ac:dyDescent="0.2">
      <c r="A157" s="33" t="s">
        <v>159</v>
      </c>
      <c r="B157" s="34">
        <v>1978</v>
      </c>
    </row>
    <row r="158" spans="1:24" x14ac:dyDescent="0.2">
      <c r="A158" s="33" t="s">
        <v>160</v>
      </c>
      <c r="B158" s="34">
        <v>2332</v>
      </c>
    </row>
    <row r="159" spans="1:24" x14ac:dyDescent="0.2">
      <c r="A159" s="33" t="s">
        <v>161</v>
      </c>
      <c r="B159" s="34">
        <v>197</v>
      </c>
    </row>
    <row r="161" spans="1:41" x14ac:dyDescent="0.2">
      <c r="A161" s="1" t="s">
        <v>314</v>
      </c>
    </row>
    <row r="162" spans="1:41" x14ac:dyDescent="0.2">
      <c r="A162" t="s">
        <v>163</v>
      </c>
      <c r="B162" t="s">
        <v>71</v>
      </c>
      <c r="C162" t="s">
        <v>164</v>
      </c>
      <c r="D162" t="s">
        <v>165</v>
      </c>
      <c r="E162" t="s">
        <v>166</v>
      </c>
      <c r="F162" t="s">
        <v>315</v>
      </c>
      <c r="G162" t="s">
        <v>323</v>
      </c>
      <c r="H162" t="s">
        <v>389</v>
      </c>
      <c r="I162" t="s">
        <v>315</v>
      </c>
      <c r="J162" t="s">
        <v>390</v>
      </c>
      <c r="K162" t="s">
        <v>391</v>
      </c>
      <c r="L162" t="s">
        <v>393</v>
      </c>
      <c r="M162" t="s">
        <v>392</v>
      </c>
      <c r="N162" t="s">
        <v>168</v>
      </c>
      <c r="O162" t="s">
        <v>169</v>
      </c>
      <c r="Q162" t="s">
        <v>171</v>
      </c>
      <c r="R162" t="s">
        <v>172</v>
      </c>
      <c r="S162" t="s">
        <v>173</v>
      </c>
      <c r="T162" t="s">
        <v>315</v>
      </c>
      <c r="U162" t="s">
        <v>324</v>
      </c>
      <c r="V162" t="s">
        <v>387</v>
      </c>
      <c r="W162" t="s">
        <v>315</v>
      </c>
      <c r="X162" t="s">
        <v>394</v>
      </c>
      <c r="Y162" t="s">
        <v>395</v>
      </c>
      <c r="Z162" t="s">
        <v>396</v>
      </c>
      <c r="AA162" t="s">
        <v>397</v>
      </c>
      <c r="AB162" t="s">
        <v>174</v>
      </c>
      <c r="AC162" t="s">
        <v>315</v>
      </c>
      <c r="AD162" t="s">
        <v>325</v>
      </c>
      <c r="AE162" t="s">
        <v>388</v>
      </c>
      <c r="AF162" t="s">
        <v>315</v>
      </c>
      <c r="AG162" t="s">
        <v>398</v>
      </c>
      <c r="AH162" t="s">
        <v>399</v>
      </c>
      <c r="AI162" t="s">
        <v>400</v>
      </c>
      <c r="AJ162" t="s">
        <v>401</v>
      </c>
      <c r="AK162" t="s">
        <v>176</v>
      </c>
      <c r="AL162" t="s">
        <v>316</v>
      </c>
      <c r="AM162" t="s">
        <v>549</v>
      </c>
      <c r="AN162" t="s">
        <v>550</v>
      </c>
      <c r="AO162" t="s">
        <v>551</v>
      </c>
    </row>
    <row r="163" spans="1:41" x14ac:dyDescent="0.2">
      <c r="A163" t="s">
        <v>217</v>
      </c>
      <c r="B163" s="20">
        <v>42817.4375</v>
      </c>
      <c r="C163">
        <f>(V138/$B$155)*(R138-O138)</f>
        <v>-5.2905276834180697</v>
      </c>
      <c r="D163">
        <f>(1/$B$154)*$B$159-(1/$B$154)*P138</f>
        <v>-2.7117956026340835</v>
      </c>
      <c r="E163" s="17">
        <f>(P139-P138)/(B164-B163)*(1/24)-(D163+C163)</f>
        <v>30.831027136669501</v>
      </c>
      <c r="F163">
        <f>E163/1000*1025*$B$155</f>
        <v>31.601802815086241</v>
      </c>
      <c r="G163" s="17">
        <f t="shared" ref="G163:G175" si="114">($B164-$B163)*24*F163</f>
        <v>47.40270422262936</v>
      </c>
      <c r="N163">
        <f t="shared" ref="N163:N175" si="115">(1/$B$154)*$B$158-(1/$B$154)*E138</f>
        <v>9.6399451657384816</v>
      </c>
      <c r="O163" s="17">
        <f t="shared" ref="O163:O175" si="116">(E139-E138)/(B164-B163)*(1/24)-(N163)</f>
        <v>-11.101132121151599</v>
      </c>
      <c r="Q163">
        <f>(X138/$B$155)*(K138-J138)</f>
        <v>-0.13017186001667477</v>
      </c>
      <c r="R163">
        <f t="shared" ref="R163:R175" si="117">(1/$B$154)*$B$157-(1/$B$154)*H138</f>
        <v>4.4995680704761298</v>
      </c>
      <c r="S163">
        <f t="shared" ref="S163:S175" si="118">O163/2</f>
        <v>-5.5505660605757994</v>
      </c>
      <c r="T163">
        <f>S163/1000*1025*$B$155</f>
        <v>-5.6893302120901943</v>
      </c>
      <c r="U163" s="17">
        <f>($B164-$B163)*24*T163</f>
        <v>-8.5339953181352914</v>
      </c>
      <c r="V163" s="17"/>
      <c r="W163" s="17"/>
      <c r="X163" s="17"/>
      <c r="Y163" s="17"/>
      <c r="Z163" s="17"/>
      <c r="AA163" s="17"/>
      <c r="AB163" s="17">
        <f t="shared" ref="AB163:AB175" si="119">(H139-H138)/(B164-B163)*(1/24)-(S163+R163+Q163)</f>
        <v>-38.847935572760562</v>
      </c>
      <c r="AC163">
        <f>AB163/1000*1025*$B$155</f>
        <v>-39.819133962079576</v>
      </c>
      <c r="AD163" s="17">
        <f>($B164-$B163)*24*AC163</f>
        <v>-59.728700943119364</v>
      </c>
      <c r="AE163" s="17"/>
      <c r="AF163" s="17"/>
      <c r="AG163" s="17"/>
      <c r="AK163">
        <f t="shared" ref="AK163:AK175" si="120">E163/AB163</f>
        <v>-0.79363360451739506</v>
      </c>
      <c r="AL163">
        <f>SLOPE(F164:F174,AC164:AC174)</f>
        <v>-0.85952211468797635</v>
      </c>
      <c r="AM163">
        <f>SLOPE(J164:J174,AG164:AG174)</f>
        <v>-0.84097946590645811</v>
      </c>
      <c r="AN163">
        <f>SLOPE(L164:L174,AI164:AI174)</f>
        <v>-0.87266289636392513</v>
      </c>
      <c r="AO163">
        <f>(AM163-AN163)/2</f>
        <v>1.5841715228733511E-2</v>
      </c>
    </row>
    <row r="164" spans="1:41" x14ac:dyDescent="0.2">
      <c r="A164" t="s">
        <v>218</v>
      </c>
      <c r="B164" s="20">
        <v>42817.5</v>
      </c>
      <c r="C164">
        <f t="shared" ref="C164:C176" si="121">(V139/$B$155)*(R139-O139)</f>
        <v>-12.068997454344611</v>
      </c>
      <c r="D164">
        <f t="shared" ref="D164:D175" si="122">(1/$B$154)*$B$159-(1/$B$154)*P139</f>
        <v>-8.6157707364144329</v>
      </c>
      <c r="E164" s="17">
        <f t="shared" ref="E164:E175" si="123">(P140-P139)/(B165-B164)*(1/24)-(D164+C164)</f>
        <v>27.312108558334032</v>
      </c>
      <c r="F164">
        <f t="shared" ref="F164:F175" si="124">E164/1000*1025*$B$155</f>
        <v>27.994911272292384</v>
      </c>
      <c r="G164" s="17">
        <f t="shared" si="114"/>
        <v>55.989822546214285</v>
      </c>
      <c r="H164">
        <v>4.8122028311298797</v>
      </c>
      <c r="I164">
        <f>H164/1000*1025*$B$155</f>
        <v>4.932507901908127</v>
      </c>
      <c r="J164">
        <f>F164-I164</f>
        <v>23.062403370384256</v>
      </c>
      <c r="K164" s="17">
        <f>($B165-$B164)*24*J164</f>
        <v>46.12480674211092</v>
      </c>
      <c r="L164">
        <f>F164+I164</f>
        <v>32.927419174200509</v>
      </c>
      <c r="M164" s="17">
        <f>($B165-$B164)*24*L164</f>
        <v>65.85483835031765</v>
      </c>
      <c r="N164">
        <f t="shared" si="115"/>
        <v>10.017838343862536</v>
      </c>
      <c r="O164" s="17">
        <f t="shared" si="116"/>
        <v>-19.347373692241788</v>
      </c>
      <c r="Q164">
        <f t="shared" ref="Q164:Q176" si="125">(X139/$B$155)*(K139-J139)</f>
        <v>0.23311390553565547</v>
      </c>
      <c r="R164">
        <f t="shared" si="117"/>
        <v>14.851922921220137</v>
      </c>
      <c r="S164">
        <f t="shared" si="118"/>
        <v>-9.6736868461208942</v>
      </c>
      <c r="T164">
        <f t="shared" ref="T164:T175" si="126">S164/1000*1025*$B$155</f>
        <v>-9.9155290172739168</v>
      </c>
      <c r="U164" s="17">
        <f t="shared" ref="U164:U175" si="127">($B165-$B164)*24*T164</f>
        <v>-19.831058035124993</v>
      </c>
      <c r="V164" s="17">
        <v>2.5214649266648901</v>
      </c>
      <c r="W164">
        <f>V164/1000*1025*$B$155</f>
        <v>2.5845015498315123</v>
      </c>
      <c r="X164" s="17">
        <f>T164-W164</f>
        <v>-12.50003056710543</v>
      </c>
      <c r="Y164" s="17">
        <f t="shared" ref="Y164:Y174" si="128">($B165-$B164)*24*X164</f>
        <v>-25.000061134938459</v>
      </c>
      <c r="Z164" s="17">
        <f>T164+W164</f>
        <v>-7.3310274674424045</v>
      </c>
      <c r="AA164" s="17">
        <f t="shared" ref="AA164:AA174" si="129">($B165-$B164)*24*Z164</f>
        <v>-14.662054935311531</v>
      </c>
      <c r="AB164" s="17">
        <f t="shared" si="119"/>
        <v>-18.512257436794378</v>
      </c>
      <c r="AC164">
        <f t="shared" ref="AC164:AC175" si="130">AB164/1000*1025*$B$155</f>
        <v>-18.975063872714237</v>
      </c>
      <c r="AD164" s="17">
        <f t="shared" ref="AD164:AD175" si="131">($B165-$B164)*24*AC164</f>
        <v>-37.950127746532971</v>
      </c>
      <c r="AE164" s="17">
        <v>5.0201942489726497</v>
      </c>
      <c r="AF164">
        <f>AE164/1000*1025*$B$155</f>
        <v>5.1456991051969654</v>
      </c>
      <c r="AG164" s="17">
        <f>AC164-AF164</f>
        <v>-24.120762977911202</v>
      </c>
      <c r="AH164" s="17">
        <f t="shared" ref="AH164:AJ174" si="132">($B165-$B164)*24*AG164</f>
        <v>-48.241525957226415</v>
      </c>
      <c r="AI164">
        <f>AC164+AF164</f>
        <v>-13.829364767517273</v>
      </c>
      <c r="AJ164" s="17">
        <f t="shared" si="132"/>
        <v>-27.65872953583952</v>
      </c>
      <c r="AK164">
        <f t="shared" si="120"/>
        <v>-1.475352676548747</v>
      </c>
    </row>
    <row r="165" spans="1:41" x14ac:dyDescent="0.2">
      <c r="A165" t="s">
        <v>219</v>
      </c>
      <c r="B165" s="20">
        <f t="shared" ref="B165:B176" si="133">B164+(1/24*2)</f>
        <v>42817.583333333336</v>
      </c>
      <c r="C165">
        <f t="shared" si="121"/>
        <v>-16.848538034136524</v>
      </c>
      <c r="D165">
        <f t="shared" si="122"/>
        <v>-10.901060518403355</v>
      </c>
      <c r="E165" s="17">
        <f t="shared" si="123"/>
        <v>33.183873868264506</v>
      </c>
      <c r="F165">
        <f t="shared" si="124"/>
        <v>34.01347071497112</v>
      </c>
      <c r="G165" s="17">
        <f t="shared" si="114"/>
        <v>68.026941431922083</v>
      </c>
      <c r="H165">
        <v>4.8179771834047003</v>
      </c>
      <c r="I165">
        <f t="shared" ref="I165:I174" si="134">H165/1000*1025*$B$155</f>
        <v>4.9384266129898178</v>
      </c>
      <c r="J165">
        <f t="shared" ref="J165:J174" si="135">F165-I165</f>
        <v>29.075044101981302</v>
      </c>
      <c r="K165" s="17">
        <f t="shared" ref="K165:K174" si="136">($B166-$B165)*24*J165</f>
        <v>58.150088205654995</v>
      </c>
      <c r="L165">
        <f t="shared" ref="L165:L174" si="137">F165+I165</f>
        <v>38.951897327960936</v>
      </c>
      <c r="M165" s="17">
        <f t="shared" ref="M165:M174" si="138">($B166-$B165)*24*L165</f>
        <v>77.90379465818917</v>
      </c>
      <c r="N165">
        <f t="shared" si="115"/>
        <v>13.234919498569695</v>
      </c>
      <c r="O165" s="17">
        <f t="shared" si="116"/>
        <v>-20.938235313175873</v>
      </c>
      <c r="Q165">
        <f t="shared" si="125"/>
        <v>0.31280173436041142</v>
      </c>
      <c r="R165">
        <f t="shared" si="117"/>
        <v>19.369477216579071</v>
      </c>
      <c r="S165">
        <f t="shared" si="118"/>
        <v>-10.469117656587937</v>
      </c>
      <c r="T165">
        <f t="shared" si="126"/>
        <v>-10.730845598002634</v>
      </c>
      <c r="U165" s="17">
        <f t="shared" si="127"/>
        <v>-21.461691196629886</v>
      </c>
      <c r="V165" s="17">
        <v>2.56250927266513</v>
      </c>
      <c r="W165">
        <f t="shared" ref="W165:W174" si="139">V165/1000*1025*$B$155</f>
        <v>2.626572004481758</v>
      </c>
      <c r="X165" s="17">
        <f t="shared" ref="X165:X174" si="140">T165-W165</f>
        <v>-13.357417602484393</v>
      </c>
      <c r="Y165" s="17">
        <f t="shared" si="128"/>
        <v>-26.71483520574629</v>
      </c>
      <c r="Z165" s="17">
        <f t="shared" ref="Z165:Z174" si="141">T165+W165</f>
        <v>-8.1042735935208761</v>
      </c>
      <c r="AA165" s="17">
        <f t="shared" si="129"/>
        <v>-16.208547187513481</v>
      </c>
      <c r="AB165" s="17">
        <f t="shared" si="119"/>
        <v>-32.189195680188796</v>
      </c>
      <c r="AC165">
        <f t="shared" si="130"/>
        <v>-32.993925572193518</v>
      </c>
      <c r="AD165" s="17">
        <f t="shared" si="131"/>
        <v>-65.987851146307534</v>
      </c>
      <c r="AE165" s="17">
        <v>5.0682166743290002</v>
      </c>
      <c r="AF165">
        <f t="shared" ref="AF165:AF174" si="142">AE165/1000*1025*$B$155</f>
        <v>5.1949220911872249</v>
      </c>
      <c r="AG165" s="17">
        <f t="shared" ref="AG165:AG174" si="143">AC165-AF165</f>
        <v>-38.188847663380741</v>
      </c>
      <c r="AH165" s="17">
        <f t="shared" si="132"/>
        <v>-76.377695328984373</v>
      </c>
      <c r="AI165">
        <f t="shared" ref="AI165:AI174" si="144">AC165+AF165</f>
        <v>-27.799003481006295</v>
      </c>
      <c r="AJ165" s="17">
        <f t="shared" si="132"/>
        <v>-55.598006963630702</v>
      </c>
      <c r="AK165">
        <f t="shared" si="120"/>
        <v>-1.030900995413436</v>
      </c>
    </row>
    <row r="166" spans="1:41" x14ac:dyDescent="0.2">
      <c r="A166" t="s">
        <v>220</v>
      </c>
      <c r="B166" s="20">
        <f t="shared" si="133"/>
        <v>42817.666666666672</v>
      </c>
      <c r="C166">
        <f t="shared" si="121"/>
        <v>-19.155432137843679</v>
      </c>
      <c r="D166">
        <f t="shared" si="122"/>
        <v>-12.774948558362937</v>
      </c>
      <c r="E166" s="17">
        <f t="shared" si="123"/>
        <v>16.325108696951276</v>
      </c>
      <c r="F166">
        <f t="shared" si="124"/>
        <v>16.733236414375057</v>
      </c>
      <c r="G166" s="17">
        <f t="shared" si="114"/>
        <v>33.466472829724118</v>
      </c>
      <c r="H166">
        <v>4.8025859263825401</v>
      </c>
      <c r="I166">
        <f t="shared" si="134"/>
        <v>4.9226505745421036</v>
      </c>
      <c r="J166">
        <f t="shared" si="135"/>
        <v>11.810585839832953</v>
      </c>
      <c r="K166" s="17">
        <f t="shared" si="136"/>
        <v>23.621171680353374</v>
      </c>
      <c r="L166">
        <f t="shared" si="137"/>
        <v>21.65588698891716</v>
      </c>
      <c r="M166" s="17">
        <f t="shared" si="138"/>
        <v>43.311773979094859</v>
      </c>
      <c r="N166">
        <f t="shared" si="115"/>
        <v>15.891235296787102</v>
      </c>
      <c r="O166" s="17">
        <f t="shared" si="116"/>
        <v>-4.2059752419411236</v>
      </c>
      <c r="Q166">
        <f t="shared" si="125"/>
        <v>0.52197474363292629</v>
      </c>
      <c r="R166">
        <f t="shared" si="117"/>
        <v>27.292247694684534</v>
      </c>
      <c r="S166">
        <f t="shared" si="118"/>
        <v>-2.1029876209705618</v>
      </c>
      <c r="T166">
        <f t="shared" si="126"/>
        <v>-2.1555623114948257</v>
      </c>
      <c r="U166" s="17">
        <f t="shared" si="127"/>
        <v>-4.3111246231151217</v>
      </c>
      <c r="V166" s="17">
        <v>2.5857931724024201</v>
      </c>
      <c r="W166">
        <f t="shared" si="139"/>
        <v>2.6504380017124807</v>
      </c>
      <c r="X166" s="17">
        <f t="shared" si="140"/>
        <v>-4.8060003132073064</v>
      </c>
      <c r="Y166" s="17">
        <f t="shared" si="128"/>
        <v>-9.6120006266943587</v>
      </c>
      <c r="Z166" s="17">
        <f t="shared" si="141"/>
        <v>0.49487569021765498</v>
      </c>
      <c r="AA166" s="17">
        <f t="shared" si="129"/>
        <v>0.98975138046411548</v>
      </c>
      <c r="AB166" s="17">
        <f t="shared" si="119"/>
        <v>-8.0955147305859398</v>
      </c>
      <c r="AC166">
        <f t="shared" si="130"/>
        <v>-8.2979025988505892</v>
      </c>
      <c r="AD166" s="17">
        <f t="shared" si="131"/>
        <v>-16.595805198184181</v>
      </c>
      <c r="AE166" s="17">
        <v>5.0622238801937298</v>
      </c>
      <c r="AF166">
        <f t="shared" si="142"/>
        <v>5.1887794771985734</v>
      </c>
      <c r="AG166" s="17">
        <f t="shared" si="143"/>
        <v>-13.486682076049163</v>
      </c>
      <c r="AH166" s="17">
        <f t="shared" si="132"/>
        <v>-26.973364152883356</v>
      </c>
      <c r="AI166">
        <f t="shared" si="144"/>
        <v>-3.1091231216520159</v>
      </c>
      <c r="AJ166" s="17">
        <f t="shared" si="132"/>
        <v>-6.2182462434850061</v>
      </c>
      <c r="AK166">
        <f t="shared" si="120"/>
        <v>-2.016562163153484</v>
      </c>
    </row>
    <row r="167" spans="1:41" x14ac:dyDescent="0.2">
      <c r="A167" t="s">
        <v>221</v>
      </c>
      <c r="B167" s="20">
        <f t="shared" si="133"/>
        <v>42817.750000000007</v>
      </c>
      <c r="C167">
        <f t="shared" si="121"/>
        <v>-10.692526164669346</v>
      </c>
      <c r="D167">
        <f t="shared" si="122"/>
        <v>-7.393820282601034</v>
      </c>
      <c r="E167" s="17">
        <f t="shared" si="123"/>
        <v>-5.3271172850027959</v>
      </c>
      <c r="F167">
        <f t="shared" si="124"/>
        <v>-5.4602952171278654</v>
      </c>
      <c r="G167" s="17">
        <f t="shared" si="114"/>
        <v>-10.920590434573562</v>
      </c>
      <c r="H167">
        <v>4.7990012947673604</v>
      </c>
      <c r="I167">
        <f t="shared" si="134"/>
        <v>4.9189763271365443</v>
      </c>
      <c r="J167">
        <f t="shared" si="135"/>
        <v>-10.379271544264409</v>
      </c>
      <c r="K167" s="17">
        <f t="shared" si="136"/>
        <v>-20.758543089132971</v>
      </c>
      <c r="L167">
        <f t="shared" si="137"/>
        <v>-0.54131888999132105</v>
      </c>
      <c r="M167" s="17">
        <f t="shared" si="138"/>
        <v>-1.0826377800141509</v>
      </c>
      <c r="N167">
        <f t="shared" si="115"/>
        <v>11.861835277757393</v>
      </c>
      <c r="O167" s="17">
        <f t="shared" si="116"/>
        <v>7.796651035784059</v>
      </c>
      <c r="Q167">
        <f t="shared" si="125"/>
        <v>0.40433215993426458</v>
      </c>
      <c r="R167">
        <f t="shared" si="117"/>
        <v>21.21786145769363</v>
      </c>
      <c r="S167">
        <f t="shared" si="118"/>
        <v>3.8983255178920295</v>
      </c>
      <c r="T167">
        <f t="shared" si="126"/>
        <v>3.9957836558393303</v>
      </c>
      <c r="U167" s="17">
        <f t="shared" si="127"/>
        <v>7.991567311911246</v>
      </c>
      <c r="V167" s="17">
        <v>2.5488769929716302</v>
      </c>
      <c r="W167">
        <f t="shared" si="139"/>
        <v>2.6125989177959208</v>
      </c>
      <c r="X167" s="17">
        <f t="shared" si="140"/>
        <v>1.3831847380434095</v>
      </c>
      <c r="Y167" s="17">
        <f t="shared" si="128"/>
        <v>2.766369476167331</v>
      </c>
      <c r="Z167" s="17">
        <f t="shared" si="141"/>
        <v>6.6083825736352511</v>
      </c>
      <c r="AA167" s="17">
        <f t="shared" si="129"/>
        <v>13.21676514765516</v>
      </c>
      <c r="AB167" s="17">
        <f t="shared" si="119"/>
        <v>22.487765789013149</v>
      </c>
      <c r="AC167">
        <f t="shared" si="130"/>
        <v>23.049959933738478</v>
      </c>
      <c r="AD167" s="17">
        <f t="shared" si="131"/>
        <v>46.099919868818638</v>
      </c>
      <c r="AE167" s="17">
        <v>5.1039830921982396</v>
      </c>
      <c r="AF167">
        <f t="shared" si="142"/>
        <v>5.2315826695031955</v>
      </c>
      <c r="AG167" s="17">
        <f t="shared" si="143"/>
        <v>17.818377264235281</v>
      </c>
      <c r="AH167" s="17">
        <f t="shared" si="132"/>
        <v>35.636754529507726</v>
      </c>
      <c r="AI167">
        <f t="shared" si="144"/>
        <v>28.281542603241675</v>
      </c>
      <c r="AJ167" s="17">
        <f t="shared" si="132"/>
        <v>56.56308520812955</v>
      </c>
      <c r="AK167">
        <f t="shared" si="120"/>
        <v>-0.23688957520206236</v>
      </c>
    </row>
    <row r="168" spans="1:41" x14ac:dyDescent="0.2">
      <c r="A168" t="s">
        <v>222</v>
      </c>
      <c r="B168" s="20">
        <f t="shared" si="133"/>
        <v>42817.833333333343</v>
      </c>
      <c r="C168">
        <f t="shared" si="121"/>
        <v>-1.4787974637738142</v>
      </c>
      <c r="D168">
        <f t="shared" si="122"/>
        <v>0.67978790117641807</v>
      </c>
      <c r="E168" s="17">
        <f t="shared" si="123"/>
        <v>-17.211645869352331</v>
      </c>
      <c r="F168">
        <f t="shared" si="124"/>
        <v>-17.641937016086139</v>
      </c>
      <c r="G168" s="17">
        <f t="shared" si="114"/>
        <v>-35.283874033199176</v>
      </c>
      <c r="H168">
        <v>4.7255405103451098</v>
      </c>
      <c r="I168">
        <f t="shared" si="134"/>
        <v>4.8436790231037383</v>
      </c>
      <c r="J168">
        <f t="shared" si="135"/>
        <v>-22.485616039189878</v>
      </c>
      <c r="K168" s="17">
        <f t="shared" si="136"/>
        <v>-44.97123207968859</v>
      </c>
      <c r="L168">
        <f t="shared" si="137"/>
        <v>-12.7982579929824</v>
      </c>
      <c r="M168" s="17">
        <f t="shared" si="138"/>
        <v>-25.596515986709758</v>
      </c>
      <c r="N168">
        <f t="shared" si="115"/>
        <v>5.083046893580331</v>
      </c>
      <c r="O168" s="17">
        <f t="shared" si="116"/>
        <v>7.5754213518702542</v>
      </c>
      <c r="Q168">
        <f t="shared" si="125"/>
        <v>7.8317961312901654E-2</v>
      </c>
      <c r="R168">
        <f t="shared" si="117"/>
        <v>4.6632804487521753</v>
      </c>
      <c r="S168">
        <f t="shared" si="118"/>
        <v>3.7877106759351271</v>
      </c>
      <c r="T168">
        <f t="shared" si="126"/>
        <v>3.882403442833505</v>
      </c>
      <c r="U168" s="17">
        <f t="shared" si="127"/>
        <v>7.7648068858929955</v>
      </c>
      <c r="V168" s="17">
        <v>2.5777524175417099</v>
      </c>
      <c r="W168">
        <f t="shared" si="139"/>
        <v>2.6421962279802527</v>
      </c>
      <c r="X168" s="17">
        <f t="shared" si="140"/>
        <v>1.2402072148532524</v>
      </c>
      <c r="Y168" s="17">
        <f t="shared" si="128"/>
        <v>2.4804144297786941</v>
      </c>
      <c r="Z168" s="17">
        <f t="shared" si="141"/>
        <v>6.5245996708137577</v>
      </c>
      <c r="AA168" s="17">
        <f t="shared" si="129"/>
        <v>13.049199342007297</v>
      </c>
      <c r="AB168" s="17">
        <f t="shared" si="119"/>
        <v>23.854065459336788</v>
      </c>
      <c r="AC168">
        <f t="shared" si="130"/>
        <v>24.450417095820207</v>
      </c>
      <c r="AD168" s="17">
        <f t="shared" si="131"/>
        <v>48.900834193063616</v>
      </c>
      <c r="AE168" s="17">
        <v>5.1150102924334897</v>
      </c>
      <c r="AF168">
        <f t="shared" si="142"/>
        <v>5.2428855497443267</v>
      </c>
      <c r="AG168" s="17">
        <f t="shared" si="143"/>
        <v>19.207531546075881</v>
      </c>
      <c r="AH168" s="17">
        <f t="shared" si="132"/>
        <v>38.415063093269787</v>
      </c>
      <c r="AI168">
        <f t="shared" si="144"/>
        <v>29.693302645564533</v>
      </c>
      <c r="AJ168" s="17">
        <f t="shared" si="132"/>
        <v>59.386605292857446</v>
      </c>
      <c r="AK168">
        <f t="shared" si="120"/>
        <v>-0.72153930736429128</v>
      </c>
    </row>
    <row r="169" spans="1:41" x14ac:dyDescent="0.2">
      <c r="A169" t="s">
        <v>223</v>
      </c>
      <c r="B169" s="20">
        <f t="shared" si="133"/>
        <v>42817.916666666679</v>
      </c>
      <c r="C169">
        <f t="shared" si="121"/>
        <v>4.3697984464215383</v>
      </c>
      <c r="D169">
        <f t="shared" si="122"/>
        <v>6.8903587399605222</v>
      </c>
      <c r="E169" s="17">
        <f t="shared" si="123"/>
        <v>-13.16934124495414</v>
      </c>
      <c r="F169">
        <f t="shared" si="124"/>
        <v>-13.498574776077993</v>
      </c>
      <c r="G169" s="17">
        <f t="shared" si="114"/>
        <v>-26.997149552941707</v>
      </c>
      <c r="H169">
        <v>4.7157615705860501</v>
      </c>
      <c r="I169">
        <f t="shared" si="134"/>
        <v>4.8336556098507018</v>
      </c>
      <c r="J169">
        <f t="shared" si="135"/>
        <v>-18.332230385928696</v>
      </c>
      <c r="K169" s="17">
        <f t="shared" si="136"/>
        <v>-36.664460772924471</v>
      </c>
      <c r="L169">
        <f t="shared" si="137"/>
        <v>-8.6649191662272909</v>
      </c>
      <c r="M169" s="17">
        <f t="shared" si="138"/>
        <v>-17.329838332958946</v>
      </c>
      <c r="N169">
        <f t="shared" si="115"/>
        <v>0.71805784329791322</v>
      </c>
      <c r="O169" s="17">
        <f t="shared" si="116"/>
        <v>-14.488260093154546</v>
      </c>
      <c r="Q169">
        <f t="shared" si="125"/>
        <v>-0.21546165659029706</v>
      </c>
      <c r="R169">
        <f t="shared" si="117"/>
        <v>-6.5034004292752456</v>
      </c>
      <c r="S169">
        <f t="shared" si="118"/>
        <v>-7.2441300465772729</v>
      </c>
      <c r="T169">
        <f t="shared" si="126"/>
        <v>-7.4252332977417046</v>
      </c>
      <c r="U169" s="17">
        <f t="shared" si="127"/>
        <v>-14.850466595915615</v>
      </c>
      <c r="V169" s="17">
        <v>2.5800275800703498</v>
      </c>
      <c r="W169">
        <f t="shared" si="139"/>
        <v>2.6445282695721084</v>
      </c>
      <c r="X169" s="17">
        <f t="shared" si="140"/>
        <v>-10.069761567313813</v>
      </c>
      <c r="Y169" s="17">
        <f t="shared" si="128"/>
        <v>-20.139523135213764</v>
      </c>
      <c r="Z169" s="17">
        <f t="shared" si="141"/>
        <v>-4.7807050281695957</v>
      </c>
      <c r="AA169" s="17">
        <f t="shared" si="129"/>
        <v>-9.5614100566174649</v>
      </c>
      <c r="AB169" s="17">
        <f t="shared" si="119"/>
        <v>16.605721777563634</v>
      </c>
      <c r="AC169">
        <f t="shared" si="130"/>
        <v>17.020864822002725</v>
      </c>
      <c r="AD169" s="17">
        <f t="shared" si="131"/>
        <v>34.041729644996195</v>
      </c>
      <c r="AE169" s="17">
        <v>5.1284751709707699</v>
      </c>
      <c r="AF169">
        <f t="shared" si="142"/>
        <v>5.2566870502450396</v>
      </c>
      <c r="AG169" s="17">
        <f t="shared" si="143"/>
        <v>11.764177771757685</v>
      </c>
      <c r="AH169" s="17">
        <f t="shared" si="132"/>
        <v>23.528355544200135</v>
      </c>
      <c r="AI169">
        <f t="shared" si="144"/>
        <v>22.277551872247763</v>
      </c>
      <c r="AJ169" s="17">
        <f t="shared" si="132"/>
        <v>44.555103745792252</v>
      </c>
      <c r="AK169">
        <f t="shared" si="120"/>
        <v>-0.79306045358097799</v>
      </c>
    </row>
    <row r="170" spans="1:41" x14ac:dyDescent="0.2">
      <c r="A170" t="s">
        <v>224</v>
      </c>
      <c r="B170" s="20">
        <f t="shared" si="133"/>
        <v>42818.000000000015</v>
      </c>
      <c r="C170">
        <f t="shared" si="121"/>
        <v>5.0086391935690067</v>
      </c>
      <c r="D170">
        <f t="shared" si="122"/>
        <v>7.5486980705217803</v>
      </c>
      <c r="E170" s="17">
        <f t="shared" si="123"/>
        <v>-14.985835690045736</v>
      </c>
      <c r="F170">
        <f t="shared" si="124"/>
        <v>-15.360481582296879</v>
      </c>
      <c r="G170" s="17">
        <f t="shared" si="114"/>
        <v>-30.720963165487856</v>
      </c>
      <c r="H170">
        <v>4.7738407957781304</v>
      </c>
      <c r="I170">
        <f t="shared" si="134"/>
        <v>4.8931868156725837</v>
      </c>
      <c r="J170">
        <f t="shared" si="135"/>
        <v>-20.253668397969463</v>
      </c>
      <c r="K170" s="17">
        <f t="shared" si="136"/>
        <v>-40.507336797117844</v>
      </c>
      <c r="L170">
        <f t="shared" si="137"/>
        <v>-10.467294766624295</v>
      </c>
      <c r="M170" s="17">
        <f t="shared" si="138"/>
        <v>-20.934589533857867</v>
      </c>
      <c r="N170">
        <f t="shared" si="115"/>
        <v>5.4664034468349314</v>
      </c>
      <c r="O170" s="17">
        <f t="shared" si="116"/>
        <v>3.1213510218971159</v>
      </c>
      <c r="Q170">
        <f t="shared" si="125"/>
        <v>-0.43827382776229767</v>
      </c>
      <c r="R170">
        <f t="shared" si="117"/>
        <v>-7.4146865138262115</v>
      </c>
      <c r="S170">
        <f t="shared" si="118"/>
        <v>1.5606755109485579</v>
      </c>
      <c r="T170">
        <f t="shared" si="126"/>
        <v>1.5996923987222718</v>
      </c>
      <c r="U170" s="17">
        <f t="shared" si="127"/>
        <v>3.1993847975376579</v>
      </c>
      <c r="V170" s="17">
        <v>2.6013780737013499</v>
      </c>
      <c r="W170">
        <f t="shared" si="139"/>
        <v>2.6664125255438837</v>
      </c>
      <c r="X170" s="17">
        <f t="shared" si="140"/>
        <v>-1.066720126821612</v>
      </c>
      <c r="Y170" s="17">
        <f t="shared" si="128"/>
        <v>-2.1334402537053152</v>
      </c>
      <c r="Z170" s="17">
        <f t="shared" si="141"/>
        <v>4.2661049242661555</v>
      </c>
      <c r="AA170" s="17">
        <f t="shared" si="129"/>
        <v>8.5322098487806315</v>
      </c>
      <c r="AB170" s="17">
        <f t="shared" si="119"/>
        <v>14.010409766394726</v>
      </c>
      <c r="AC170">
        <f t="shared" si="130"/>
        <v>14.360670010554594</v>
      </c>
      <c r="AD170" s="17">
        <f t="shared" si="131"/>
        <v>28.721340021945089</v>
      </c>
      <c r="AE170" s="17">
        <v>5.1589905705040104</v>
      </c>
      <c r="AF170">
        <f t="shared" si="142"/>
        <v>5.2879653347666107</v>
      </c>
      <c r="AG170" s="17">
        <f t="shared" si="143"/>
        <v>9.0727046757879837</v>
      </c>
      <c r="AH170" s="17">
        <f t="shared" si="132"/>
        <v>18.145409352104068</v>
      </c>
      <c r="AI170">
        <f t="shared" si="144"/>
        <v>19.648635345321203</v>
      </c>
      <c r="AJ170" s="17">
        <f t="shared" si="132"/>
        <v>39.29727069178611</v>
      </c>
      <c r="AK170">
        <f t="shared" si="120"/>
        <v>-1.0696215128547246</v>
      </c>
    </row>
    <row r="171" spans="1:41" x14ac:dyDescent="0.2">
      <c r="A171" t="s">
        <v>225</v>
      </c>
      <c r="B171" s="20">
        <f t="shared" si="133"/>
        <v>42818.08333333335</v>
      </c>
      <c r="C171">
        <f t="shared" si="121"/>
        <v>5.0373170072973226</v>
      </c>
      <c r="D171">
        <f t="shared" si="122"/>
        <v>8.3861113208754432</v>
      </c>
      <c r="E171" s="17">
        <f t="shared" si="123"/>
        <v>-13.770653707881909</v>
      </c>
      <c r="F171">
        <f t="shared" si="124"/>
        <v>-14.114920050578956</v>
      </c>
      <c r="G171" s="17">
        <f t="shared" si="114"/>
        <v>-56.45968020149423</v>
      </c>
      <c r="H171">
        <v>2.1229835894480602</v>
      </c>
      <c r="I171">
        <f t="shared" si="134"/>
        <v>2.1760581791842619</v>
      </c>
      <c r="J171">
        <f t="shared" si="135"/>
        <v>-16.290978229763219</v>
      </c>
      <c r="K171" s="17">
        <f t="shared" si="136"/>
        <v>-65.163912918104614</v>
      </c>
      <c r="L171">
        <f t="shared" si="137"/>
        <v>-11.938861871394694</v>
      </c>
      <c r="M171" s="17">
        <f t="shared" si="138"/>
        <v>-47.755447484883845</v>
      </c>
      <c r="N171">
        <f t="shared" si="115"/>
        <v>2.5051088023583929</v>
      </c>
      <c r="O171" s="17">
        <f t="shared" si="116"/>
        <v>-5.7821487073369964</v>
      </c>
      <c r="Q171">
        <f t="shared" si="125"/>
        <v>-0.38530326149576316</v>
      </c>
      <c r="R171">
        <f t="shared" si="117"/>
        <v>-10.076108905543208</v>
      </c>
      <c r="S171">
        <f t="shared" si="118"/>
        <v>-2.8910743536684982</v>
      </c>
      <c r="T171">
        <f t="shared" si="126"/>
        <v>-2.9633512125102106</v>
      </c>
      <c r="U171" s="17">
        <f t="shared" si="127"/>
        <v>-11.853404849868353</v>
      </c>
      <c r="V171" s="17">
        <v>1.11540971508724</v>
      </c>
      <c r="W171">
        <f t="shared" si="139"/>
        <v>1.1432949579644209</v>
      </c>
      <c r="X171" s="17">
        <f t="shared" si="140"/>
        <v>-4.1066461704746313</v>
      </c>
      <c r="Y171" s="17">
        <f t="shared" si="128"/>
        <v>-16.426584681659488</v>
      </c>
      <c r="Z171" s="17">
        <f t="shared" si="141"/>
        <v>-1.8200562545457897</v>
      </c>
      <c r="AA171" s="17">
        <f t="shared" si="129"/>
        <v>-7.2802250180772177</v>
      </c>
      <c r="AB171" s="17">
        <f t="shared" si="119"/>
        <v>14.71540961633159</v>
      </c>
      <c r="AC171">
        <f t="shared" si="130"/>
        <v>15.083294856739878</v>
      </c>
      <c r="AD171" s="17">
        <f t="shared" si="131"/>
        <v>60.33317942608155</v>
      </c>
      <c r="AE171" s="17">
        <v>2.2414573633127</v>
      </c>
      <c r="AF171">
        <f t="shared" si="142"/>
        <v>2.2974937973955174</v>
      </c>
      <c r="AG171" s="17">
        <f t="shared" si="143"/>
        <v>12.78580105934436</v>
      </c>
      <c r="AH171" s="17">
        <f t="shared" si="132"/>
        <v>51.14320423663321</v>
      </c>
      <c r="AI171">
        <f t="shared" si="144"/>
        <v>17.380788654135394</v>
      </c>
      <c r="AJ171" s="17">
        <f t="shared" si="132"/>
        <v>69.523154615529876</v>
      </c>
      <c r="AK171">
        <f t="shared" si="120"/>
        <v>-0.93579819161804623</v>
      </c>
    </row>
    <row r="172" spans="1:41" x14ac:dyDescent="0.2">
      <c r="A172" t="s">
        <v>226</v>
      </c>
      <c r="B172" s="20">
        <f>B171+(1/24*4)</f>
        <v>42818.250000000015</v>
      </c>
      <c r="C172">
        <f t="shared" si="121"/>
        <v>6.8278962291603937</v>
      </c>
      <c r="D172">
        <f t="shared" si="122"/>
        <v>8.6255770999817152</v>
      </c>
      <c r="E172" s="17">
        <f t="shared" si="123"/>
        <v>-8.1562129880261338</v>
      </c>
      <c r="F172">
        <f t="shared" si="124"/>
        <v>-8.3601183127267884</v>
      </c>
      <c r="G172" s="17">
        <f t="shared" si="114"/>
        <v>-16.720236625940199</v>
      </c>
      <c r="H172">
        <v>4.7926479787471497</v>
      </c>
      <c r="I172">
        <f t="shared" si="134"/>
        <v>4.9124641782158287</v>
      </c>
      <c r="J172">
        <f t="shared" si="135"/>
        <v>-13.272582490942618</v>
      </c>
      <c r="K172" s="17">
        <f t="shared" si="136"/>
        <v>-26.545164982657802</v>
      </c>
      <c r="L172">
        <f t="shared" si="137"/>
        <v>-3.4476541345109597</v>
      </c>
      <c r="M172" s="17">
        <f t="shared" si="138"/>
        <v>-6.8953082692225989</v>
      </c>
      <c r="N172">
        <f t="shared" si="115"/>
        <v>4.7651363230003767</v>
      </c>
      <c r="O172" s="17">
        <f t="shared" si="116"/>
        <v>-0.49565712304325693</v>
      </c>
      <c r="Q172">
        <f t="shared" si="125"/>
        <v>-0.67369040499594879</v>
      </c>
      <c r="R172">
        <f t="shared" si="117"/>
        <v>-11.016055868028957</v>
      </c>
      <c r="S172">
        <f t="shared" si="118"/>
        <v>-0.24782856152162847</v>
      </c>
      <c r="T172">
        <f t="shared" si="126"/>
        <v>-0.25402427555966917</v>
      </c>
      <c r="U172" s="17">
        <f t="shared" si="127"/>
        <v>-0.5080485511341245</v>
      </c>
      <c r="V172" s="17">
        <v>2.5605625549025501</v>
      </c>
      <c r="W172">
        <f t="shared" si="139"/>
        <v>2.6245766187751141</v>
      </c>
      <c r="X172" s="17">
        <f t="shared" si="140"/>
        <v>-2.8786008943347832</v>
      </c>
      <c r="Y172" s="17">
        <f t="shared" si="128"/>
        <v>-5.757201788837123</v>
      </c>
      <c r="Z172" s="17">
        <f t="shared" si="141"/>
        <v>2.3705523432154449</v>
      </c>
      <c r="AA172" s="17">
        <f t="shared" si="129"/>
        <v>4.7411046865688746</v>
      </c>
      <c r="AB172" s="17">
        <f t="shared" si="119"/>
        <v>-3.6867279998305769</v>
      </c>
      <c r="AC172">
        <f t="shared" si="130"/>
        <v>-3.7788961998263413</v>
      </c>
      <c r="AD172" s="17">
        <f t="shared" si="131"/>
        <v>-7.5577923998726435</v>
      </c>
      <c r="AE172" s="17">
        <v>5.1298632906531596</v>
      </c>
      <c r="AF172">
        <f t="shared" si="142"/>
        <v>5.2581098729194888</v>
      </c>
      <c r="AG172" s="17">
        <f t="shared" si="143"/>
        <v>-9.0370060727458306</v>
      </c>
      <c r="AH172" s="17">
        <f t="shared" si="132"/>
        <v>-18.074012146017683</v>
      </c>
      <c r="AI172">
        <f t="shared" si="144"/>
        <v>1.4792136730931476</v>
      </c>
      <c r="AJ172" s="17">
        <f t="shared" si="132"/>
        <v>2.9584273462723965</v>
      </c>
      <c r="AK172">
        <f t="shared" si="120"/>
        <v>2.2123175315349957</v>
      </c>
    </row>
    <row r="173" spans="1:41" x14ac:dyDescent="0.2">
      <c r="A173" t="s">
        <v>227</v>
      </c>
      <c r="B173" s="20">
        <f t="shared" si="133"/>
        <v>42818.33333333335</v>
      </c>
      <c r="C173">
        <f t="shared" si="121"/>
        <v>4.7534022390164825</v>
      </c>
      <c r="D173">
        <f t="shared" si="122"/>
        <v>6.1092804305581438</v>
      </c>
      <c r="E173" s="17">
        <f t="shared" si="123"/>
        <v>13.16532106287149</v>
      </c>
      <c r="F173">
        <f t="shared" si="124"/>
        <v>13.494454089443277</v>
      </c>
      <c r="G173" s="17">
        <f t="shared" si="114"/>
        <v>26.988908179672034</v>
      </c>
      <c r="H173">
        <v>4.7277277826093203</v>
      </c>
      <c r="I173">
        <f t="shared" si="134"/>
        <v>4.8459209771745533</v>
      </c>
      <c r="J173">
        <f t="shared" si="135"/>
        <v>8.6485331122687228</v>
      </c>
      <c r="K173" s="17">
        <f t="shared" si="136"/>
        <v>17.297066225040858</v>
      </c>
      <c r="L173">
        <f t="shared" si="137"/>
        <v>18.340375066617831</v>
      </c>
      <c r="M173" s="17">
        <f t="shared" si="138"/>
        <v>36.68075013430321</v>
      </c>
      <c r="N173">
        <f t="shared" si="115"/>
        <v>3.2929021160757657</v>
      </c>
      <c r="O173" s="17">
        <f t="shared" si="116"/>
        <v>-26.925554395323847</v>
      </c>
      <c r="Q173">
        <f t="shared" si="125"/>
        <v>-0.34176675078042584</v>
      </c>
      <c r="R173">
        <f t="shared" si="117"/>
        <v>-5.6283652353283173</v>
      </c>
      <c r="S173">
        <f t="shared" si="118"/>
        <v>-13.462777197661923</v>
      </c>
      <c r="T173">
        <f t="shared" si="126"/>
        <v>-13.799346627603471</v>
      </c>
      <c r="U173" s="17">
        <f t="shared" si="127"/>
        <v>-27.598693256010169</v>
      </c>
      <c r="V173" s="17">
        <v>2.55603125632094</v>
      </c>
      <c r="W173">
        <f t="shared" si="139"/>
        <v>2.6199320377289634</v>
      </c>
      <c r="X173" s="17">
        <f t="shared" si="140"/>
        <v>-16.419278665332435</v>
      </c>
      <c r="Y173" s="17">
        <f t="shared" si="128"/>
        <v>-32.838557331620599</v>
      </c>
      <c r="Z173" s="17">
        <f t="shared" si="141"/>
        <v>-11.179414589874508</v>
      </c>
      <c r="AA173" s="17">
        <f t="shared" si="129"/>
        <v>-22.358829180399745</v>
      </c>
      <c r="AB173" s="17">
        <f t="shared" si="119"/>
        <v>-9.4629057271912131</v>
      </c>
      <c r="AC173">
        <f t="shared" si="130"/>
        <v>-9.6994783703709935</v>
      </c>
      <c r="AD173" s="17">
        <f t="shared" si="131"/>
        <v>-19.39895674130657</v>
      </c>
      <c r="AE173" s="17">
        <v>5.0293619426225202</v>
      </c>
      <c r="AF173">
        <f t="shared" si="142"/>
        <v>5.1550959911880838</v>
      </c>
      <c r="AG173" s="17">
        <f t="shared" si="143"/>
        <v>-14.854574361559077</v>
      </c>
      <c r="AH173" s="17">
        <f t="shared" si="132"/>
        <v>-29.709148723982803</v>
      </c>
      <c r="AI173">
        <f t="shared" si="144"/>
        <v>-4.5443823791829097</v>
      </c>
      <c r="AJ173" s="17">
        <f t="shared" si="132"/>
        <v>-9.0887647586303366</v>
      </c>
      <c r="AK173">
        <f t="shared" si="120"/>
        <v>-1.3912556504754729</v>
      </c>
    </row>
    <row r="174" spans="1:41" x14ac:dyDescent="0.2">
      <c r="A174" t="s">
        <v>228</v>
      </c>
      <c r="B174" s="20">
        <f t="shared" si="133"/>
        <v>42818.416666666686</v>
      </c>
      <c r="C174">
        <f t="shared" si="121"/>
        <v>-4.1217612558174883</v>
      </c>
      <c r="D174">
        <f t="shared" si="122"/>
        <v>-2.176238098112691</v>
      </c>
      <c r="E174" s="17">
        <f t="shared" si="123"/>
        <v>26.681766476077826</v>
      </c>
      <c r="F174">
        <f t="shared" si="124"/>
        <v>27.348810637979771</v>
      </c>
      <c r="G174" s="17">
        <f t="shared" si="114"/>
        <v>54.697621277551448</v>
      </c>
      <c r="H174">
        <v>4.8180747099210697</v>
      </c>
      <c r="I174">
        <f t="shared" si="134"/>
        <v>4.9385265776690961</v>
      </c>
      <c r="J174">
        <f t="shared" si="135"/>
        <v>22.410284060310673</v>
      </c>
      <c r="K174" s="17">
        <f t="shared" si="136"/>
        <v>44.820568121925795</v>
      </c>
      <c r="L174">
        <f t="shared" si="137"/>
        <v>32.287337215648868</v>
      </c>
      <c r="M174" s="17">
        <f t="shared" si="138"/>
        <v>64.574674433177108</v>
      </c>
      <c r="N174">
        <f t="shared" si="115"/>
        <v>11.442092557433</v>
      </c>
      <c r="O174" s="17">
        <f t="shared" si="116"/>
        <v>-8.7964127762554423</v>
      </c>
      <c r="Q174">
        <f t="shared" si="125"/>
        <v>-0.17290553745236148</v>
      </c>
      <c r="R174">
        <f t="shared" si="117"/>
        <v>4.3357088721899117</v>
      </c>
      <c r="S174">
        <f t="shared" si="118"/>
        <v>-4.3982063881277211</v>
      </c>
      <c r="T174">
        <f t="shared" si="126"/>
        <v>-4.5081615478309143</v>
      </c>
      <c r="U174" s="17">
        <f t="shared" si="127"/>
        <v>-9.0163230959242373</v>
      </c>
      <c r="V174" s="17">
        <v>2.56551972093644</v>
      </c>
      <c r="W174">
        <f t="shared" si="139"/>
        <v>2.6296577139598512</v>
      </c>
      <c r="X174" s="17">
        <f t="shared" si="140"/>
        <v>-7.1378192617907654</v>
      </c>
      <c r="Y174" s="17">
        <f t="shared" si="128"/>
        <v>-14.275638523997007</v>
      </c>
      <c r="Z174" s="17">
        <f t="shared" si="141"/>
        <v>-1.8785038338710631</v>
      </c>
      <c r="AA174" s="17">
        <f t="shared" si="129"/>
        <v>-3.7570076678514694</v>
      </c>
      <c r="AB174" s="17">
        <f t="shared" si="119"/>
        <v>-33.660425108860167</v>
      </c>
      <c r="AC174">
        <f t="shared" si="130"/>
        <v>-34.501935736581672</v>
      </c>
      <c r="AD174" s="17">
        <f t="shared" si="131"/>
        <v>-69.003871475171621</v>
      </c>
      <c r="AE174" s="17">
        <v>5.0318921363086604</v>
      </c>
      <c r="AF174">
        <f t="shared" si="142"/>
        <v>5.1576894397163766</v>
      </c>
      <c r="AG174" s="17">
        <f t="shared" si="143"/>
        <v>-39.65962517629805</v>
      </c>
      <c r="AH174" s="17">
        <f t="shared" si="132"/>
        <v>-79.319250354904597</v>
      </c>
      <c r="AI174">
        <f t="shared" si="144"/>
        <v>-29.344246296865293</v>
      </c>
      <c r="AJ174" s="17">
        <f t="shared" si="132"/>
        <v>-58.688492595438646</v>
      </c>
      <c r="AK174">
        <f t="shared" si="120"/>
        <v>-0.79267467329325547</v>
      </c>
    </row>
    <row r="175" spans="1:41" x14ac:dyDescent="0.2">
      <c r="A175" t="s">
        <v>229</v>
      </c>
      <c r="B175" s="20">
        <f t="shared" si="133"/>
        <v>42818.500000000022</v>
      </c>
      <c r="C175">
        <f t="shared" si="121"/>
        <v>-12.600099272466084</v>
      </c>
      <c r="D175">
        <f t="shared" si="122"/>
        <v>-9.2051233128509296</v>
      </c>
      <c r="E175" s="17">
        <f t="shared" si="123"/>
        <v>26.90946805826173</v>
      </c>
      <c r="F175">
        <f t="shared" si="124"/>
        <v>27.582204759718273</v>
      </c>
      <c r="G175" s="17">
        <f t="shared" si="114"/>
        <v>55.164409521042039</v>
      </c>
      <c r="N175">
        <f t="shared" si="115"/>
        <v>10.529789184586605</v>
      </c>
      <c r="O175" s="17">
        <f t="shared" si="116"/>
        <v>-20.361452065525395</v>
      </c>
      <c r="Q175">
        <f t="shared" si="125"/>
        <v>0.26721793014872119</v>
      </c>
      <c r="R175">
        <f t="shared" si="117"/>
        <v>16.023925480202649</v>
      </c>
      <c r="S175">
        <f t="shared" si="118"/>
        <v>-10.180726032762697</v>
      </c>
      <c r="T175">
        <f t="shared" si="126"/>
        <v>-10.435244183581766</v>
      </c>
      <c r="U175" s="17">
        <f t="shared" si="127"/>
        <v>-20.870488367770943</v>
      </c>
      <c r="V175" s="17"/>
      <c r="W175" s="17"/>
      <c r="X175" s="17"/>
      <c r="Y175" s="17"/>
      <c r="Z175" s="17"/>
      <c r="AA175" s="17"/>
      <c r="AB175" s="17">
        <f t="shared" si="119"/>
        <v>-20.666908628243249</v>
      </c>
      <c r="AC175">
        <f t="shared" si="130"/>
        <v>-21.183581343949331</v>
      </c>
      <c r="AD175" s="17">
        <f t="shared" si="131"/>
        <v>-42.36716268913171</v>
      </c>
      <c r="AE175" s="17"/>
      <c r="AF175" s="17"/>
      <c r="AG175" s="17"/>
      <c r="AK175">
        <f t="shared" si="120"/>
        <v>-1.3020557908446668</v>
      </c>
    </row>
    <row r="176" spans="1:41" x14ac:dyDescent="0.2">
      <c r="A176" t="s">
        <v>230</v>
      </c>
      <c r="B176" s="20">
        <f t="shared" si="133"/>
        <v>42818.583333333358</v>
      </c>
      <c r="C176">
        <f t="shared" si="121"/>
        <v>-14.884675811404819</v>
      </c>
      <c r="D176" t="s">
        <v>195</v>
      </c>
      <c r="E176" t="s">
        <v>195</v>
      </c>
      <c r="N176" t="s">
        <v>195</v>
      </c>
      <c r="O176" t="s">
        <v>195</v>
      </c>
      <c r="Q176">
        <f t="shared" si="125"/>
        <v>0.32270171563192995</v>
      </c>
      <c r="R176" t="s">
        <v>195</v>
      </c>
      <c r="S176" t="s">
        <v>195</v>
      </c>
      <c r="AB176" t="s">
        <v>195</v>
      </c>
      <c r="AC176" t="s">
        <v>195</v>
      </c>
      <c r="AK176" t="s">
        <v>195</v>
      </c>
    </row>
    <row r="178" spans="1:8" x14ac:dyDescent="0.2">
      <c r="A178" t="s">
        <v>326</v>
      </c>
      <c r="B178" s="17">
        <f>SUM(G164:G174)</f>
        <v>62.067272251447243</v>
      </c>
      <c r="C178" t="s">
        <v>402</v>
      </c>
      <c r="D178" s="17">
        <f>SUM(M164:M174)</f>
        <v>168.73149416743482</v>
      </c>
      <c r="E178" t="s">
        <v>403</v>
      </c>
      <c r="F178" s="17">
        <f>SUM(K164:K174)</f>
        <v>-44.596949664540368</v>
      </c>
      <c r="G178" s="17" t="s">
        <v>404</v>
      </c>
      <c r="H178" s="17">
        <f>D178-B178</f>
        <v>106.66422191598758</v>
      </c>
    </row>
    <row r="179" spans="1:8" x14ac:dyDescent="0.2">
      <c r="A179" t="s">
        <v>327</v>
      </c>
      <c r="B179" s="17">
        <f>SUM(AD164:AD174)</f>
        <v>1.6025984475295729</v>
      </c>
      <c r="C179" t="s">
        <v>402</v>
      </c>
      <c r="D179" s="17">
        <f>SUM(AJ164:AJ174)</f>
        <v>115.03140680334343</v>
      </c>
      <c r="E179" t="s">
        <v>403</v>
      </c>
      <c r="F179" s="17">
        <f>SUM(AH164:AH174)</f>
        <v>-111.82620990828428</v>
      </c>
      <c r="G179" s="17" t="s">
        <v>404</v>
      </c>
      <c r="H179" s="17">
        <f>D179-B179</f>
        <v>113.42880835581386</v>
      </c>
    </row>
    <row r="180" spans="1:8" x14ac:dyDescent="0.2">
      <c r="A180" t="s">
        <v>328</v>
      </c>
      <c r="B180" s="17">
        <f>SUM(U164:U174)</f>
        <v>-90.475051208380592</v>
      </c>
      <c r="C180" t="s">
        <v>402</v>
      </c>
      <c r="D180" s="17">
        <f>SUM(AA164:AA174)</f>
        <v>-33.299043640294826</v>
      </c>
      <c r="E180" t="s">
        <v>403</v>
      </c>
      <c r="F180" s="17">
        <f>SUM(Y164:Y174)</f>
        <v>-147.65105877646639</v>
      </c>
      <c r="G180" s="17" t="s">
        <v>404</v>
      </c>
      <c r="H180" s="17">
        <f>D180-B180</f>
        <v>57.176007568085765</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35ECC-48FB-B944-857D-371F1791F77E}">
  <dimension ref="A1:T87"/>
  <sheetViews>
    <sheetView workbookViewId="0">
      <selection activeCell="O22" sqref="O22"/>
    </sheetView>
  </sheetViews>
  <sheetFormatPr baseColWidth="10" defaultRowHeight="16" x14ac:dyDescent="0.2"/>
  <cols>
    <col min="1" max="1" width="42.1640625" bestFit="1" customWidth="1"/>
    <col min="2" max="2" width="12.33203125" bestFit="1" customWidth="1"/>
    <col min="3" max="3" width="12.33203125" customWidth="1"/>
    <col min="4" max="4" width="29.6640625" bestFit="1" customWidth="1"/>
    <col min="5" max="5" width="16.33203125" bestFit="1" customWidth="1"/>
    <col min="6" max="6" width="19.33203125" bestFit="1" customWidth="1"/>
    <col min="7" max="7" width="20.33203125" bestFit="1" customWidth="1"/>
    <col min="8" max="8" width="13" bestFit="1" customWidth="1"/>
    <col min="9" max="9" width="12.5" bestFit="1" customWidth="1"/>
    <col min="10" max="10" width="14.5" bestFit="1" customWidth="1"/>
    <col min="11" max="11" width="11.6640625" bestFit="1" customWidth="1"/>
    <col min="12" max="12" width="10.1640625" bestFit="1" customWidth="1"/>
    <col min="13" max="13" width="23" bestFit="1" customWidth="1"/>
    <col min="14" max="14" width="23" customWidth="1"/>
    <col min="15" max="15" width="23.33203125" bestFit="1" customWidth="1"/>
    <col min="16" max="16" width="23.33203125" customWidth="1"/>
    <col min="17" max="17" width="20" bestFit="1" customWidth="1"/>
    <col min="18" max="18" width="20" customWidth="1"/>
    <col min="20" max="20" width="23.83203125" bestFit="1" customWidth="1"/>
  </cols>
  <sheetData>
    <row r="1" spans="1:2" x14ac:dyDescent="0.2">
      <c r="A1" s="1" t="s">
        <v>231</v>
      </c>
    </row>
    <row r="2" spans="1:2" x14ac:dyDescent="0.2">
      <c r="A2" t="s">
        <v>232</v>
      </c>
      <c r="B2">
        <v>1025</v>
      </c>
    </row>
    <row r="3" spans="1:2" x14ac:dyDescent="0.2">
      <c r="A3" t="s">
        <v>233</v>
      </c>
      <c r="B3">
        <v>1</v>
      </c>
    </row>
    <row r="4" spans="1:2" x14ac:dyDescent="0.2">
      <c r="A4" t="s">
        <v>288</v>
      </c>
      <c r="B4">
        <v>1.25</v>
      </c>
    </row>
    <row r="5" spans="1:2" x14ac:dyDescent="0.2">
      <c r="A5" t="s">
        <v>289</v>
      </c>
      <c r="B5">
        <v>1.25</v>
      </c>
    </row>
    <row r="6" spans="1:2" x14ac:dyDescent="0.2">
      <c r="A6" t="s">
        <v>290</v>
      </c>
      <c r="B6">
        <v>1.25</v>
      </c>
    </row>
    <row r="7" spans="1:2" x14ac:dyDescent="0.2">
      <c r="A7" t="s">
        <v>295</v>
      </c>
      <c r="B7">
        <v>1.25</v>
      </c>
    </row>
    <row r="8" spans="1:2" x14ac:dyDescent="0.2">
      <c r="A8" t="s">
        <v>296</v>
      </c>
      <c r="B8">
        <v>8.75</v>
      </c>
    </row>
    <row r="9" spans="1:2" x14ac:dyDescent="0.2">
      <c r="A9" t="s">
        <v>297</v>
      </c>
      <c r="B9">
        <v>3.58</v>
      </c>
    </row>
    <row r="10" spans="1:2" x14ac:dyDescent="0.2">
      <c r="A10" t="s">
        <v>298</v>
      </c>
      <c r="B10">
        <v>2.75</v>
      </c>
    </row>
    <row r="11" spans="1:2" x14ac:dyDescent="0.2">
      <c r="A11" t="s">
        <v>299</v>
      </c>
      <c r="B11">
        <v>5.8</v>
      </c>
    </row>
    <row r="12" spans="1:2" x14ac:dyDescent="0.2">
      <c r="A12" t="s">
        <v>291</v>
      </c>
      <c r="B12">
        <f>B4*B8</f>
        <v>10.9375</v>
      </c>
    </row>
    <row r="13" spans="1:2" x14ac:dyDescent="0.2">
      <c r="A13" t="s">
        <v>293</v>
      </c>
      <c r="B13">
        <f>B4*B9</f>
        <v>4.4749999999999996</v>
      </c>
    </row>
    <row r="14" spans="1:2" x14ac:dyDescent="0.2">
      <c r="A14" t="s">
        <v>292</v>
      </c>
      <c r="B14">
        <f>B6*B10</f>
        <v>3.4375</v>
      </c>
    </row>
    <row r="15" spans="1:2" x14ac:dyDescent="0.2">
      <c r="A15" t="s">
        <v>294</v>
      </c>
      <c r="B15">
        <f>B7*B11</f>
        <v>7.25</v>
      </c>
    </row>
    <row r="16" spans="1:2" x14ac:dyDescent="0.2">
      <c r="A16" t="s">
        <v>458</v>
      </c>
      <c r="B16">
        <v>197</v>
      </c>
    </row>
    <row r="17" spans="1:20" x14ac:dyDescent="0.2">
      <c r="A17" t="s">
        <v>459</v>
      </c>
      <c r="B17">
        <v>1978</v>
      </c>
    </row>
    <row r="18" spans="1:20" x14ac:dyDescent="0.2">
      <c r="A18" t="s">
        <v>460</v>
      </c>
      <c r="B18">
        <v>2332</v>
      </c>
    </row>
    <row r="20" spans="1:20" x14ac:dyDescent="0.2">
      <c r="A20" s="10" t="s">
        <v>234</v>
      </c>
    </row>
    <row r="21" spans="1:20" x14ac:dyDescent="0.2">
      <c r="A21" t="s">
        <v>99</v>
      </c>
      <c r="B21" t="s">
        <v>83</v>
      </c>
      <c r="C21" t="s">
        <v>333</v>
      </c>
      <c r="D21" t="s">
        <v>245</v>
      </c>
      <c r="E21" t="s">
        <v>68</v>
      </c>
      <c r="F21" t="s">
        <v>312</v>
      </c>
      <c r="G21" t="s">
        <v>313</v>
      </c>
      <c r="H21" t="s">
        <v>235</v>
      </c>
      <c r="I21" t="s">
        <v>236</v>
      </c>
      <c r="J21" t="s">
        <v>246</v>
      </c>
      <c r="K21" t="s">
        <v>237</v>
      </c>
      <c r="M21" t="s">
        <v>238</v>
      </c>
      <c r="N21" t="s">
        <v>334</v>
      </c>
      <c r="O21" t="s">
        <v>239</v>
      </c>
      <c r="P21" t="s">
        <v>335</v>
      </c>
      <c r="Q21" s="2" t="s">
        <v>240</v>
      </c>
      <c r="R21" s="2" t="s">
        <v>336</v>
      </c>
      <c r="T21" t="s">
        <v>241</v>
      </c>
    </row>
    <row r="22" spans="1:20" x14ac:dyDescent="0.2">
      <c r="A22" s="20">
        <v>0.45833333333333331</v>
      </c>
      <c r="B22" s="17">
        <f>'All Experimental Diel Data'!O3</f>
        <v>232.78</v>
      </c>
      <c r="C22" s="17">
        <f>'All Experimental Diel Data'!P3</f>
        <v>232.43627009210954</v>
      </c>
      <c r="D22" s="17">
        <f>'All Experimental Diel Data'!R3</f>
        <v>189.97860560000001</v>
      </c>
      <c r="E22" s="17">
        <f>'All Experimental Diel Data'!T3</f>
        <v>4.1666700000000008</v>
      </c>
      <c r="F22">
        <f>'All Experimental Diel Data'!V3</f>
        <v>5.7586596925940634E-2</v>
      </c>
      <c r="G22">
        <f>'All Experimental Diel Data'!X3</f>
        <v>5.3126062710610801E-2</v>
      </c>
      <c r="H22" s="17">
        <f>'All Experimental Diel Data'!H3</f>
        <v>1920.1413679093203</v>
      </c>
      <c r="I22" s="17">
        <f>'All Experimental Diel Data'!E3</f>
        <v>2310.2735361689702</v>
      </c>
      <c r="J22" s="13">
        <f>'All Experimental Diel Data'!J3</f>
        <v>8.018815</v>
      </c>
      <c r="K22" s="13">
        <f>'All Experimental Diel Data'!K3</f>
        <v>10.399481711026231</v>
      </c>
      <c r="M22">
        <f>($B$3*$B$2*($B$4/$B$12)*(C22-$B$16)+F22*(B22-D22))/1000</f>
        <v>4.1535707117228702</v>
      </c>
      <c r="N22" s="17">
        <f>(A23-A22)*24*M22</f>
        <v>8.3071414234457386</v>
      </c>
      <c r="O22">
        <f>($B$3*$B$2*($B$4/$B$12)*(H22-$B$17)-Q22+G22*(J22-K22))/1000</f>
        <v>-6.7753068488798327</v>
      </c>
      <c r="P22" s="17">
        <f>(A23-A22)*24*O22</f>
        <v>-13.550613697759662</v>
      </c>
      <c r="Q22">
        <f>($B$3*$B$2*($B$4/$B$12)*(I22-$B$18)/1000)</f>
        <v>-2.5451000487777802</v>
      </c>
      <c r="R22" s="17">
        <f>(A23-A22)*24*Q22</f>
        <v>-5.0902000975555595</v>
      </c>
      <c r="T22">
        <f>M22/O22</f>
        <v>-0.61304540212958525</v>
      </c>
    </row>
    <row r="23" spans="1:20" x14ac:dyDescent="0.2">
      <c r="A23" s="20">
        <v>0.54166666666666663</v>
      </c>
      <c r="B23" s="17">
        <f>'All Experimental Diel Data'!O4</f>
        <v>249.01</v>
      </c>
      <c r="C23" s="17">
        <f>'All Experimental Diel Data'!P4</f>
        <v>248.5480096318143</v>
      </c>
      <c r="D23" s="17">
        <f>'All Experimental Diel Data'!R4</f>
        <v>188.20350199999999</v>
      </c>
      <c r="E23" s="17">
        <f>'All Experimental Diel Data'!T4</f>
        <v>3.7500030000000004</v>
      </c>
      <c r="F23">
        <f>'All Experimental Diel Data'!V4</f>
        <v>4.7314822628388764E-2</v>
      </c>
      <c r="G23">
        <f>'All Experimental Diel Data'!X4</f>
        <v>4.3646367322413518E-2</v>
      </c>
      <c r="H23" s="17">
        <f>'All Experimental Diel Data'!H4</f>
        <v>1889.6155647243258</v>
      </c>
      <c r="I23" s="17">
        <f>'All Experimental Diel Data'!E4</f>
        <v>2303.5782077381591</v>
      </c>
      <c r="J23" s="13">
        <f>'All Experimental Diel Data'!J4</f>
        <v>7.2601880000000003</v>
      </c>
      <c r="K23" s="13">
        <f>'All Experimental Diel Data'!K4</f>
        <v>10.256355583100445</v>
      </c>
      <c r="M23">
        <f t="shared" ref="M23:M33" si="0">($B$3*$B$2*($B$4/$B$12)*(C23-$B$16)+F23*(B23-D23))/1000</f>
        <v>6.0413581769657698</v>
      </c>
      <c r="N23" s="17">
        <f t="shared" ref="N23:N32" si="1">(A24-A23)*24*M23</f>
        <v>12.082716353931545</v>
      </c>
      <c r="O23">
        <f t="shared" ref="O23:O33" si="2">($B$3*$B$2*($B$4/$B$12)*(H23-$B$17)-Q23+G23*(J23-K23))/1000</f>
        <v>-10.350406637030618</v>
      </c>
      <c r="P23" s="17">
        <f t="shared" ref="P23:P33" si="3">(A24-A23)*24*O23</f>
        <v>-20.700813274061247</v>
      </c>
      <c r="Q23">
        <f t="shared" ref="Q23:Q33" si="4">($B$3*$B$2*($B$4/$B$12)*(I23-$B$18)/1000)</f>
        <v>-3.3294099506727903</v>
      </c>
      <c r="R23" s="17">
        <f t="shared" ref="R23:R33" si="5">(A24-A23)*24*Q23</f>
        <v>-6.6588199013455833</v>
      </c>
      <c r="T23">
        <f t="shared" ref="T23:T33" si="6">M23/O23</f>
        <v>-0.58368317195883124</v>
      </c>
    </row>
    <row r="24" spans="1:20" x14ac:dyDescent="0.2">
      <c r="A24" s="20">
        <v>0.625</v>
      </c>
      <c r="B24" s="17">
        <f>'All Experimental Diel Data'!O5</f>
        <v>257.62</v>
      </c>
      <c r="C24" s="17">
        <f>'All Experimental Diel Data'!P5</f>
        <v>257.08005925408077</v>
      </c>
      <c r="D24" s="17">
        <f>'All Experimental Diel Data'!R5</f>
        <v>187.22313600000001</v>
      </c>
      <c r="E24" s="17">
        <f>'All Experimental Diel Data'!T5</f>
        <v>3.6111140000000002</v>
      </c>
      <c r="F24">
        <f>'All Experimental Diel Data'!V5</f>
        <v>4.4226349326630728E-2</v>
      </c>
      <c r="G24">
        <f>'All Experimental Diel Data'!X5</f>
        <v>4.0795173892078596E-2</v>
      </c>
      <c r="H24" s="17">
        <f>'All Experimental Diel Data'!H5</f>
        <v>1864.3610371662905</v>
      </c>
      <c r="I24" s="17">
        <f>'All Experimental Diel Data'!E5</f>
        <v>2284.102739021293</v>
      </c>
      <c r="J24" s="13">
        <f>'All Experimental Diel Data'!J5</f>
        <v>6.9830059999999996</v>
      </c>
      <c r="K24" s="13">
        <f>'All Experimental Diel Data'!K5</f>
        <v>10.177792962758058</v>
      </c>
      <c r="M24">
        <f t="shared" si="0"/>
        <v>7.0410631946339377</v>
      </c>
      <c r="N24" s="17">
        <f t="shared" si="1"/>
        <v>14.082126389267883</v>
      </c>
      <c r="O24">
        <f t="shared" si="2"/>
        <v>-13.30651229898101</v>
      </c>
      <c r="P24" s="17">
        <f t="shared" si="3"/>
        <v>-26.613024597962031</v>
      </c>
      <c r="Q24">
        <f t="shared" si="4"/>
        <v>-5.610822000362818</v>
      </c>
      <c r="R24" s="17">
        <f t="shared" si="5"/>
        <v>-11.221644000725641</v>
      </c>
      <c r="T24">
        <f t="shared" si="6"/>
        <v>-0.52914415411265436</v>
      </c>
    </row>
    <row r="25" spans="1:20" x14ac:dyDescent="0.2">
      <c r="A25" s="20">
        <v>0.70833333333333337</v>
      </c>
      <c r="B25" s="17">
        <f>'All Experimental Diel Data'!O6</f>
        <v>263.77999999999997</v>
      </c>
      <c r="C25" s="17">
        <f>'All Experimental Diel Data'!P6</f>
        <v>263.18856918985716</v>
      </c>
      <c r="D25" s="17">
        <f>'All Experimental Diel Data'!R6</f>
        <v>187.7890314</v>
      </c>
      <c r="E25" s="17">
        <f>'All Experimental Diel Data'!T6</f>
        <v>3.7500030000000004</v>
      </c>
      <c r="F25">
        <f>'All Experimental Diel Data'!V6</f>
        <v>4.7469548796721564E-2</v>
      </c>
      <c r="G25">
        <f>'All Experimental Diel Data'!X6</f>
        <v>4.3788167360637481E-2</v>
      </c>
      <c r="H25" s="17">
        <f>'All Experimental Diel Data'!H6</f>
        <v>1850.0804671648878</v>
      </c>
      <c r="I25" s="17">
        <f>'All Experimental Diel Data'!E6</f>
        <v>2284.5362469366155</v>
      </c>
      <c r="J25" s="13">
        <f>'All Experimental Diel Data'!J6</f>
        <v>6.5416400000000001</v>
      </c>
      <c r="K25" s="13">
        <f>'All Experimental Diel Data'!K6</f>
        <v>10.223544817396885</v>
      </c>
      <c r="M25">
        <f t="shared" si="0"/>
        <v>7.7571253620896217</v>
      </c>
      <c r="N25" s="17">
        <f t="shared" si="1"/>
        <v>15.514250724179229</v>
      </c>
      <c r="O25">
        <f t="shared" si="2"/>
        <v>-14.97946074490436</v>
      </c>
      <c r="P25" s="17">
        <f t="shared" si="3"/>
        <v>-29.958921489808695</v>
      </c>
      <c r="Q25">
        <f t="shared" si="4"/>
        <v>-5.5600396445678992</v>
      </c>
      <c r="R25" s="17">
        <f t="shared" si="5"/>
        <v>-11.120079289135788</v>
      </c>
      <c r="T25">
        <f t="shared" si="6"/>
        <v>-0.51785077541782687</v>
      </c>
    </row>
    <row r="26" spans="1:20" x14ac:dyDescent="0.2">
      <c r="A26" s="20">
        <v>0.79166666666666663</v>
      </c>
      <c r="B26" s="17">
        <f>'All Experimental Diel Data'!O7</f>
        <v>226.46</v>
      </c>
      <c r="C26" s="17">
        <f>'All Experimental Diel Data'!P7</f>
        <v>225.82876394935624</v>
      </c>
      <c r="D26" s="17">
        <f>'All Experimental Diel Data'!R7</f>
        <v>189.81435920000001</v>
      </c>
      <c r="E26" s="17">
        <f>'All Experimental Diel Data'!T7</f>
        <v>3.8888920000000002</v>
      </c>
      <c r="F26">
        <f>'All Experimental Diel Data'!V7</f>
        <v>5.0208088532416102E-2</v>
      </c>
      <c r="G26">
        <f>'All Experimental Diel Data'!X7</f>
        <v>4.6318873641768184E-2</v>
      </c>
      <c r="H26" s="17">
        <f>'All Experimental Diel Data'!H7</f>
        <v>1873.4346197845284</v>
      </c>
      <c r="I26" s="17">
        <f>'All Experimental Diel Data'!E7</f>
        <v>2285.2123795210841</v>
      </c>
      <c r="J26" s="13">
        <f>'All Experimental Diel Data'!J7</f>
        <v>7.137785</v>
      </c>
      <c r="K26" s="13">
        <f>'All Experimental Diel Data'!K7</f>
        <v>10.388218800498617</v>
      </c>
      <c r="M26">
        <f t="shared" si="0"/>
        <v>3.3789236845022019</v>
      </c>
      <c r="N26" s="17">
        <f t="shared" si="1"/>
        <v>6.7578473690044065</v>
      </c>
      <c r="O26">
        <f t="shared" si="2"/>
        <v>-12.243757117560198</v>
      </c>
      <c r="P26" s="17">
        <f t="shared" si="3"/>
        <v>-24.487514235120408</v>
      </c>
      <c r="Q26">
        <f t="shared" si="4"/>
        <v>-5.4808355418158587</v>
      </c>
      <c r="R26" s="17">
        <f t="shared" si="5"/>
        <v>-10.961671083631723</v>
      </c>
      <c r="T26">
        <f t="shared" si="6"/>
        <v>-0.27597114611625984</v>
      </c>
    </row>
    <row r="27" spans="1:20" x14ac:dyDescent="0.2">
      <c r="A27" s="20">
        <v>0.875</v>
      </c>
      <c r="B27" s="17">
        <f>'All Experimental Diel Data'!O8</f>
        <v>200.29</v>
      </c>
      <c r="C27" s="17">
        <f>'All Experimental Diel Data'!P8</f>
        <v>199.61615450667941</v>
      </c>
      <c r="D27" s="17">
        <f>'All Experimental Diel Data'!R8</f>
        <v>191.56886159999999</v>
      </c>
      <c r="E27" s="17">
        <f>'All Experimental Diel Data'!T8</f>
        <v>3.8888920000000002</v>
      </c>
      <c r="F27">
        <f>'All Experimental Diel Data'!V8</f>
        <v>4.9501710928978815E-2</v>
      </c>
      <c r="G27">
        <f>'All Experimental Diel Data'!X8</f>
        <v>4.5670026000301858E-2</v>
      </c>
      <c r="H27" s="17">
        <f>'All Experimental Diel Data'!H8</f>
        <v>1898.852534697842</v>
      </c>
      <c r="I27" s="17">
        <f>'All Experimental Diel Data'!E8</f>
        <v>2302.4974450653867</v>
      </c>
      <c r="J27" s="13">
        <f>'All Experimental Diel Data'!J8</f>
        <v>7.4586110000000003</v>
      </c>
      <c r="K27" s="13">
        <f>'All Experimental Diel Data'!K8</f>
        <v>10.532157056449389</v>
      </c>
      <c r="M27">
        <f t="shared" si="0"/>
        <v>0.30689552491163613</v>
      </c>
      <c r="N27" s="17">
        <f t="shared" si="1"/>
        <v>0.61379104982327248</v>
      </c>
      <c r="O27">
        <f t="shared" si="2"/>
        <v>-9.2682445764601962</v>
      </c>
      <c r="P27" s="17">
        <f t="shared" si="3"/>
        <v>-18.536489152920399</v>
      </c>
      <c r="Q27">
        <f t="shared" si="4"/>
        <v>-3.4560135780546974</v>
      </c>
      <c r="R27" s="17">
        <f t="shared" si="5"/>
        <v>-6.9120271561093976</v>
      </c>
      <c r="T27">
        <f t="shared" si="6"/>
        <v>-3.3112583767059819E-2</v>
      </c>
    </row>
    <row r="28" spans="1:20" x14ac:dyDescent="0.2">
      <c r="A28" s="20">
        <v>0.95833333333333337</v>
      </c>
      <c r="B28" s="17">
        <f>'All Experimental Diel Data'!O9</f>
        <v>168.86</v>
      </c>
      <c r="C28" s="17">
        <f>'All Experimental Diel Data'!P9</f>
        <v>168.30326800329985</v>
      </c>
      <c r="D28" s="17">
        <f>'All Experimental Diel Data'!R9</f>
        <v>193.31212120000001</v>
      </c>
      <c r="E28" s="17">
        <f>'All Experimental Diel Data'!T9</f>
        <v>3.8888920000000002</v>
      </c>
      <c r="F28">
        <f>'All Experimental Diel Data'!V9</f>
        <v>4.8833075142486922E-2</v>
      </c>
      <c r="G28">
        <f>'All Experimental Diel Data'!X9</f>
        <v>4.5054860704913706E-2</v>
      </c>
      <c r="H28" s="17">
        <f>'All Experimental Diel Data'!H9</f>
        <v>1961.1327501400733</v>
      </c>
      <c r="I28" s="17">
        <f>'All Experimental Diel Data'!E9</f>
        <v>2308.8026894087634</v>
      </c>
      <c r="J28" s="13">
        <f>'All Experimental Diel Data'!J9</f>
        <v>9.5200840000000007</v>
      </c>
      <c r="K28" s="13">
        <f>'All Experimental Diel Data'!K9</f>
        <v>10.675121231886646</v>
      </c>
      <c r="M28">
        <f t="shared" si="0"/>
        <v>-3.362811249028256</v>
      </c>
      <c r="N28" s="17">
        <f t="shared" si="1"/>
        <v>-6.7256224980565147</v>
      </c>
      <c r="O28">
        <f t="shared" si="2"/>
        <v>-1.973212481535173</v>
      </c>
      <c r="P28" s="17">
        <f t="shared" si="3"/>
        <v>-3.9464249630703478</v>
      </c>
      <c r="Q28">
        <f t="shared" si="4"/>
        <v>-2.7173992406877159</v>
      </c>
      <c r="R28" s="17">
        <f t="shared" si="5"/>
        <v>-5.4347984813754344</v>
      </c>
      <c r="T28">
        <f t="shared" si="6"/>
        <v>1.7042316934930217</v>
      </c>
    </row>
    <row r="29" spans="1:20" x14ac:dyDescent="0.2">
      <c r="A29" s="20">
        <v>1.0416666666666667</v>
      </c>
      <c r="B29" s="17">
        <f>'All Experimental Diel Data'!O10</f>
        <v>164.03</v>
      </c>
      <c r="C29" s="17">
        <f>'All Experimental Diel Data'!P10</f>
        <v>163.53293379445529</v>
      </c>
      <c r="D29" s="17">
        <f>'All Experimental Diel Data'!R10</f>
        <v>193.7386261</v>
      </c>
      <c r="E29" s="17">
        <f>'All Experimental Diel Data'!T10</f>
        <v>3.3333360000000001</v>
      </c>
      <c r="F29">
        <f>'All Experimental Diel Data'!V10</f>
        <v>3.5762592000120288E-2</v>
      </c>
      <c r="G29">
        <f>'All Experimental Diel Data'!X10</f>
        <v>3.2995834311904317E-2</v>
      </c>
      <c r="H29" s="17">
        <f>'All Experimental Diel Data'!H10</f>
        <v>1992.6781779844314</v>
      </c>
      <c r="I29" s="17">
        <f>'All Experimental Diel Data'!E10</f>
        <v>2316.5786479514245</v>
      </c>
      <c r="J29" s="13">
        <f>'All Experimental Diel Data'!J10</f>
        <v>10.663318</v>
      </c>
      <c r="K29" s="13">
        <f>'All Experimental Diel Data'!K10</f>
        <v>10.709827014465613</v>
      </c>
      <c r="M29">
        <f t="shared" si="0"/>
        <v>-3.9214902129807641</v>
      </c>
      <c r="N29" s="17">
        <f t="shared" si="1"/>
        <v>-7.842980425961521</v>
      </c>
      <c r="O29">
        <f t="shared" si="2"/>
        <v>1.7212486733839172</v>
      </c>
      <c r="P29" s="17">
        <f t="shared" si="3"/>
        <v>3.4424973467678313</v>
      </c>
      <c r="Q29">
        <f t="shared" si="4"/>
        <v>-1.8065012399759872</v>
      </c>
      <c r="R29" s="17">
        <f t="shared" si="5"/>
        <v>-3.6130024799519713</v>
      </c>
      <c r="T29">
        <f t="shared" si="6"/>
        <v>-2.2782821992078843</v>
      </c>
    </row>
    <row r="30" spans="1:20" x14ac:dyDescent="0.2">
      <c r="A30" s="20">
        <v>1.125</v>
      </c>
      <c r="B30" s="17">
        <f>'All Experimental Diel Data'!O11</f>
        <v>162.76</v>
      </c>
      <c r="C30" s="17">
        <f>'All Experimental Diel Data'!P11</f>
        <v>162.12409799416696</v>
      </c>
      <c r="D30" s="17">
        <f>'All Experimental Diel Data'!R11</f>
        <v>194.42814630000001</v>
      </c>
      <c r="E30" s="17">
        <f>'All Experimental Diel Data'!T11</f>
        <v>3.0555580000000004</v>
      </c>
      <c r="F30">
        <f>'All Experimental Diel Data'!V11</f>
        <v>2.988301907859876E-2</v>
      </c>
      <c r="G30">
        <f>'All Experimental Diel Data'!X11</f>
        <v>2.757133592072113E-2</v>
      </c>
      <c r="H30" s="17">
        <f>'All Experimental Diel Data'!H11</f>
        <v>1972.8604660702304</v>
      </c>
      <c r="I30" s="17">
        <f>'All Experimental Diel Data'!E11</f>
        <v>2307.8678122674205</v>
      </c>
      <c r="J30" s="13">
        <f>'All Experimental Diel Data'!J11</f>
        <v>10.027920999999999</v>
      </c>
      <c r="K30" s="13">
        <f>'All Experimental Diel Data'!K11</f>
        <v>10.768239129773466</v>
      </c>
      <c r="M30">
        <f t="shared" si="0"/>
        <v>-4.0864091462176519</v>
      </c>
      <c r="N30" s="17">
        <f t="shared" si="1"/>
        <v>-8.1728182924352968</v>
      </c>
      <c r="O30">
        <f t="shared" si="2"/>
        <v>-0.59925318705561426</v>
      </c>
      <c r="P30" s="17">
        <f t="shared" si="3"/>
        <v>-1.1985063741112274</v>
      </c>
      <c r="Q30">
        <f t="shared" si="4"/>
        <v>-2.8269134201021693</v>
      </c>
      <c r="R30" s="17">
        <f t="shared" si="5"/>
        <v>-5.6538268402043332</v>
      </c>
      <c r="T30">
        <f t="shared" si="6"/>
        <v>6.8191696506378507</v>
      </c>
    </row>
    <row r="31" spans="1:20" x14ac:dyDescent="0.2">
      <c r="A31" s="20">
        <v>1.2083333333333333</v>
      </c>
      <c r="B31" s="17">
        <f>'All Experimental Diel Data'!O12</f>
        <v>161.29</v>
      </c>
      <c r="C31" s="17">
        <f>'All Experimental Diel Data'!P12</f>
        <v>160.58415551980559</v>
      </c>
      <c r="D31" s="17">
        <f>'All Experimental Diel Data'!R12</f>
        <v>195.20386189999999</v>
      </c>
      <c r="E31" s="17">
        <f>'All Experimental Diel Data'!T12</f>
        <v>3.0555580000000004</v>
      </c>
      <c r="F31">
        <f>'All Experimental Diel Data'!V12</f>
        <v>2.9702280034431369E-2</v>
      </c>
      <c r="G31">
        <f>'All Experimental Diel Data'!X12</f>
        <v>2.7404686937435533E-2</v>
      </c>
      <c r="H31" s="17">
        <f>'All Experimental Diel Data'!H12</f>
        <v>1973.4953621595473</v>
      </c>
      <c r="I31" s="17">
        <f>'All Experimental Diel Data'!E12</f>
        <v>2306.4022544971817</v>
      </c>
      <c r="J31" s="13">
        <f>'All Experimental Diel Data'!J12</f>
        <v>10.079127</v>
      </c>
      <c r="K31" s="13">
        <f>'All Experimental Diel Data'!K12</f>
        <v>10.833281991773054</v>
      </c>
      <c r="M31">
        <f t="shared" si="0"/>
        <v>-4.2668633867031183</v>
      </c>
      <c r="N31" s="17">
        <f t="shared" si="1"/>
        <v>-8.5337267734062525</v>
      </c>
      <c r="O31">
        <f t="shared" si="2"/>
        <v>-0.52470822136129369</v>
      </c>
      <c r="P31" s="17">
        <f t="shared" si="3"/>
        <v>-1.0494164427225892</v>
      </c>
      <c r="Q31">
        <f t="shared" si="4"/>
        <v>-2.9985930446158546</v>
      </c>
      <c r="R31" s="17">
        <f t="shared" si="5"/>
        <v>-5.9971860892317199</v>
      </c>
      <c r="T31">
        <f t="shared" si="6"/>
        <v>8.1318782763365967</v>
      </c>
    </row>
    <row r="32" spans="1:20" x14ac:dyDescent="0.2">
      <c r="A32" s="20">
        <v>1.2916666666666667</v>
      </c>
      <c r="B32" s="17">
        <f>'All Experimental Diel Data'!O13</f>
        <v>156.99</v>
      </c>
      <c r="C32" s="17">
        <f>'All Experimental Diel Data'!P13</f>
        <v>156.13610311966195</v>
      </c>
      <c r="D32" s="17">
        <f>'All Experimental Diel Data'!R13</f>
        <v>196.39476769999999</v>
      </c>
      <c r="E32" s="17">
        <f>'All Experimental Diel Data'!T13</f>
        <v>3.3333360000000001</v>
      </c>
      <c r="F32">
        <f>'All Experimental Diel Data'!V13</f>
        <v>3.5019764345050837E-2</v>
      </c>
      <c r="G32">
        <f>'All Experimental Diel Data'!X13</f>
        <v>3.2310776375955898E-2</v>
      </c>
      <c r="H32" s="17">
        <f>'All Experimental Diel Data'!H13</f>
        <v>1990.6423571540947</v>
      </c>
      <c r="I32" s="17">
        <f>'All Experimental Diel Data'!E13</f>
        <v>2311.9063539512717</v>
      </c>
      <c r="J32" s="13">
        <f>'All Experimental Diel Data'!J13</f>
        <v>10.643373</v>
      </c>
      <c r="K32" s="13">
        <f>'All Experimental Diel Data'!K13</f>
        <v>10.934114483832991</v>
      </c>
      <c r="M32">
        <f t="shared" si="0"/>
        <v>-4.7882935802328115</v>
      </c>
      <c r="N32" s="17">
        <f t="shared" si="1"/>
        <v>-9.5765871604656141</v>
      </c>
      <c r="O32">
        <f t="shared" si="2"/>
        <v>1.4833062710765943</v>
      </c>
      <c r="P32" s="17">
        <f t="shared" si="3"/>
        <v>2.9666125421531859</v>
      </c>
      <c r="Q32">
        <f t="shared" si="4"/>
        <v>-2.3538271085653104</v>
      </c>
      <c r="R32" s="17">
        <f t="shared" si="5"/>
        <v>-4.7076542171306164</v>
      </c>
      <c r="T32">
        <f t="shared" si="6"/>
        <v>-3.2281219823586627</v>
      </c>
    </row>
    <row r="33" spans="1:20" x14ac:dyDescent="0.2">
      <c r="A33" s="20">
        <v>1.375</v>
      </c>
      <c r="B33" s="17">
        <f>'All Experimental Diel Data'!O14</f>
        <v>186.37</v>
      </c>
      <c r="C33" s="17">
        <f>'All Experimental Diel Data'!P14</f>
        <v>185.47928029238122</v>
      </c>
      <c r="D33" s="17">
        <f>'All Experimental Diel Data'!R14</f>
        <v>196.07847369999999</v>
      </c>
      <c r="E33" s="17">
        <f>'All Experimental Diel Data'!T14</f>
        <v>3.8888920000000002</v>
      </c>
      <c r="F33">
        <f>'All Experimental Diel Data'!V14</f>
        <v>4.7789634096638299E-2</v>
      </c>
      <c r="G33">
        <f>'All Experimental Diel Data'!X14</f>
        <v>4.4092888237780244E-2</v>
      </c>
      <c r="H33" s="17">
        <f>'All Experimental Diel Data'!H14</f>
        <v>1985.4468711329771</v>
      </c>
      <c r="I33" s="17">
        <f>'All Experimental Diel Data'!E14</f>
        <v>2317.9585605847624</v>
      </c>
      <c r="J33" s="13">
        <f>'All Experimental Diel Data'!J14</f>
        <v>10.168132999999999</v>
      </c>
      <c r="K33" s="13">
        <f>'All Experimental Diel Data'!K14</f>
        <v>10.906638995147574</v>
      </c>
      <c r="M33">
        <f t="shared" si="0"/>
        <v>-1.3500339872982454</v>
      </c>
      <c r="N33" s="17">
        <f>(A34-A33)*24*M33</f>
        <v>-2.7000679745964886</v>
      </c>
      <c r="O33">
        <f t="shared" si="2"/>
        <v>0.87396005276079469</v>
      </c>
      <c r="P33" s="17">
        <f t="shared" si="3"/>
        <v>1.7479201055215878</v>
      </c>
      <c r="Q33">
        <f t="shared" si="4"/>
        <v>-1.6448543314992639</v>
      </c>
      <c r="R33" s="17">
        <f t="shared" si="5"/>
        <v>-3.2897086629985246</v>
      </c>
      <c r="T33">
        <f t="shared" si="6"/>
        <v>-1.5447319165602109</v>
      </c>
    </row>
    <row r="34" spans="1:20" x14ac:dyDescent="0.2">
      <c r="A34" s="20">
        <v>1.4583333333333333</v>
      </c>
      <c r="B34" s="17">
        <f>'All Experimental Diel Data'!O15</f>
        <v>216.77</v>
      </c>
      <c r="C34" s="17">
        <f>'All Experimental Diel Data'!P15</f>
        <v>215.79587061794498</v>
      </c>
      <c r="D34" s="17">
        <f>'All Experimental Diel Data'!R15</f>
        <v>193.0988108</v>
      </c>
      <c r="E34" s="17">
        <f>'All Experimental Diel Data'!T15</f>
        <v>4.0277810000000001</v>
      </c>
      <c r="F34">
        <f>'All Experimental Diel Data'!V15</f>
        <v>5.2448840954966255E-2</v>
      </c>
      <c r="G34">
        <f>'All Experimental Diel Data'!X15</f>
        <v>4.8390748625441432E-2</v>
      </c>
      <c r="H34" s="17">
        <f>'All Experimental Diel Data'!H15</f>
        <v>1944.8381548377661</v>
      </c>
      <c r="I34" s="17">
        <f>'All Experimental Diel Data'!E15</f>
        <v>2306.0103825105875</v>
      </c>
      <c r="J34" s="13">
        <f>'All Experimental Diel Data'!J15</f>
        <v>8.958278</v>
      </c>
      <c r="K34" s="13">
        <f>'All Experimental Diel Data'!K15</f>
        <v>10.659543809654528</v>
      </c>
    </row>
    <row r="35" spans="1:20" x14ac:dyDescent="0.2">
      <c r="M35" s="1" t="s">
        <v>339</v>
      </c>
      <c r="N35" s="48">
        <f>SUM(N22:N33)</f>
        <v>13.806070184730384</v>
      </c>
      <c r="P35" s="48">
        <f>SUM(P22:P33)</f>
        <v>-131.88469423309402</v>
      </c>
      <c r="R35" s="48">
        <f>SUM(R22:R33)</f>
        <v>-80.660618299396276</v>
      </c>
      <c r="T35" s="1">
        <f>SLOPE(M22:M33,O22:O33)</f>
        <v>-0.70840631125757969</v>
      </c>
    </row>
    <row r="37" spans="1:20" x14ac:dyDescent="0.2">
      <c r="A37" s="10" t="s">
        <v>242</v>
      </c>
    </row>
    <row r="38" spans="1:20" x14ac:dyDescent="0.2">
      <c r="A38" t="s">
        <v>71</v>
      </c>
      <c r="B38" t="s">
        <v>83</v>
      </c>
      <c r="C38" t="s">
        <v>333</v>
      </c>
      <c r="D38" t="s">
        <v>245</v>
      </c>
      <c r="E38" t="s">
        <v>68</v>
      </c>
      <c r="F38" t="s">
        <v>312</v>
      </c>
      <c r="G38" t="s">
        <v>313</v>
      </c>
      <c r="H38" t="s">
        <v>235</v>
      </c>
      <c r="I38" t="s">
        <v>236</v>
      </c>
      <c r="J38" t="s">
        <v>246</v>
      </c>
      <c r="K38" t="s">
        <v>237</v>
      </c>
      <c r="M38" t="s">
        <v>238</v>
      </c>
      <c r="N38" t="s">
        <v>334</v>
      </c>
      <c r="O38" t="s">
        <v>239</v>
      </c>
      <c r="P38" t="s">
        <v>335</v>
      </c>
      <c r="Q38" s="2" t="s">
        <v>240</v>
      </c>
      <c r="R38" s="2" t="s">
        <v>336</v>
      </c>
      <c r="T38" t="s">
        <v>241</v>
      </c>
    </row>
    <row r="39" spans="1:20" x14ac:dyDescent="0.2">
      <c r="A39" s="20">
        <f>42323.25-365</f>
        <v>41958.25</v>
      </c>
      <c r="B39" s="17">
        <f>'All Experimental Diel Data'!O19</f>
        <v>209.0625</v>
      </c>
      <c r="C39" s="17">
        <f>'All Experimental Diel Data'!P19</f>
        <v>206.49588448660711</v>
      </c>
      <c r="D39" s="17">
        <f>'All Experimental Diel Data'!R19</f>
        <v>192.5154197</v>
      </c>
      <c r="E39" s="17">
        <f>'All Experimental Diel Data'!T19</f>
        <v>3.0555580000000004</v>
      </c>
      <c r="F39">
        <f>'All Experimental Diel Data'!V19</f>
        <v>3.0241234718532413E-2</v>
      </c>
      <c r="G39">
        <f>'All Experimental Diel Data'!X19</f>
        <v>2.7901279304134583E-2</v>
      </c>
      <c r="H39" s="17">
        <f>'All Experimental Diel Data'!H19</f>
        <v>2087.0887834821428</v>
      </c>
      <c r="I39" s="17">
        <f>'All Experimental Diel Data'!E19</f>
        <v>2326.9968749999998</v>
      </c>
      <c r="J39" s="13">
        <f>'All Experimental Diel Data'!J19</f>
        <v>16.476420999999998</v>
      </c>
      <c r="K39" s="13">
        <f>'All Experimental Diel Data'!K19</f>
        <v>10.624513586422182</v>
      </c>
      <c r="M39">
        <f>($B$3*$B$2*($B$4/$B$12)*(C39-$B$16)+F39*(B39-D39))/1000</f>
        <v>1.1128754439989488</v>
      </c>
      <c r="N39" s="17">
        <f>(A40-A39)*24*M39</f>
        <v>2.2257508870910074</v>
      </c>
      <c r="O39">
        <f>($B$3*$B$2*($B$4/$B$12)*(H39-$B$17)-Q39+G39*(J39-K39))/1000</f>
        <v>12.779721135397084</v>
      </c>
      <c r="P39" s="17">
        <f>(A40-A39)*24*O39</f>
        <v>25.559442260379882</v>
      </c>
      <c r="Q39">
        <f>($B$3*$B$2*($B$4/$B$12)*(I39-$B$18)/1000)</f>
        <v>-0.58608035714287854</v>
      </c>
      <c r="R39" s="17">
        <f>(A40-A39)*24*Q39</f>
        <v>-1.172160713808156</v>
      </c>
      <c r="T39">
        <f>M39/O39</f>
        <v>8.7081355861241966E-2</v>
      </c>
    </row>
    <row r="40" spans="1:20" x14ac:dyDescent="0.2">
      <c r="A40" s="20">
        <f>42323.3333333333-365</f>
        <v>41958.333333333299</v>
      </c>
      <c r="B40" s="17">
        <f>'All Experimental Diel Data'!O20</f>
        <v>200.9375</v>
      </c>
      <c r="C40" s="17">
        <f>'All Experimental Diel Data'!P20</f>
        <v>198.85902991333518</v>
      </c>
      <c r="D40" s="17">
        <f>'All Experimental Diel Data'!R20</f>
        <v>191.42564060000001</v>
      </c>
      <c r="E40" s="17">
        <f>'All Experimental Diel Data'!T20</f>
        <v>2.9166690000000002</v>
      </c>
      <c r="F40">
        <f>'All Experimental Diel Data'!V20</f>
        <v>2.7809616898254574E-2</v>
      </c>
      <c r="G40">
        <f>'All Experimental Diel Data'!X20</f>
        <v>2.5657123992030562E-2</v>
      </c>
      <c r="H40" s="17">
        <f>'All Experimental Diel Data'!H20</f>
        <v>2036.9003634330443</v>
      </c>
      <c r="I40" s="17">
        <f>'All Experimental Diel Data'!E20</f>
        <v>2326.3846798993563</v>
      </c>
      <c r="J40" s="13">
        <f>'All Experimental Diel Data'!J20</f>
        <v>12.904030000000001</v>
      </c>
      <c r="K40" s="13">
        <f>'All Experimental Diel Data'!K20</f>
        <v>10.531851687986885</v>
      </c>
      <c r="M40">
        <f t="shared" ref="M40:M48" si="7">($B$3*$B$2*($B$4/$B$12)*(C40-$B$16)+F40*(B40-D40))/1000</f>
        <v>0.21803659672802486</v>
      </c>
      <c r="N40" s="17">
        <f t="shared" ref="N40:N47" si="8">(A41-A40)*24*M40</f>
        <v>0.43607319381140891</v>
      </c>
      <c r="O40">
        <f t="shared" ref="O40:O48" si="9">($B$3*$B$2*($B$4/$B$12)*(H40-$B$17)-Q40+G40*(J40-K40))/1000</f>
        <v>6.9004755172129162</v>
      </c>
      <c r="P40" s="17">
        <f t="shared" ref="P40:P48" si="10">(A41-A40)*24*O40</f>
        <v>13.800951045672328</v>
      </c>
      <c r="Q40">
        <f t="shared" ref="Q40:Q48" si="11">($B$3*$B$2*($B$4/$B$12)*(I40-$B$18)/1000)</f>
        <v>-0.65779464036111412</v>
      </c>
      <c r="R40" s="17">
        <f t="shared" ref="R40:R47" si="12">(A41-A40)*24*Q40</f>
        <v>-1.3155892817943116</v>
      </c>
      <c r="T40">
        <f t="shared" ref="T40:T48" si="13">M40/O40</f>
        <v>3.1597329225231313E-2</v>
      </c>
    </row>
    <row r="41" spans="1:20" x14ac:dyDescent="0.2">
      <c r="A41" s="20">
        <f>42323.4166666667-365</f>
        <v>41958.416666666701</v>
      </c>
      <c r="B41" s="17">
        <f>'All Experimental Diel Data'!O21</f>
        <v>240</v>
      </c>
      <c r="C41" s="17">
        <f>'All Experimental Diel Data'!P21</f>
        <v>237.58389261744966</v>
      </c>
      <c r="D41" s="17">
        <f>'All Experimental Diel Data'!R21</f>
        <v>189.09261029999999</v>
      </c>
      <c r="E41" s="17">
        <f>'All Experimental Diel Data'!T21</f>
        <v>2.7777800000000004</v>
      </c>
      <c r="F41">
        <f>'All Experimental Diel Data'!V21</f>
        <v>2.5701371863696192E-2</v>
      </c>
      <c r="G41">
        <f>'All Experimental Diel Data'!X21</f>
        <v>2.3710080730799915E-2</v>
      </c>
      <c r="H41" s="17">
        <f>'All Experimental Diel Data'!H21</f>
        <v>1980.4795302013422</v>
      </c>
      <c r="I41" s="17">
        <f>'All Experimental Diel Data'!E21</f>
        <v>2302.3859060402688</v>
      </c>
      <c r="J41" s="13">
        <f>'All Experimental Diel Data'!J21</f>
        <v>10.964109000000001</v>
      </c>
      <c r="K41" s="13">
        <f>'All Experimental Diel Data'!K21</f>
        <v>10.341239425259216</v>
      </c>
      <c r="M41">
        <f t="shared" si="7"/>
        <v>4.7554215249402505</v>
      </c>
      <c r="N41" s="17">
        <f t="shared" si="8"/>
        <v>9.5108562511197494</v>
      </c>
      <c r="O41">
        <f t="shared" si="9"/>
        <v>0.29394310002326934</v>
      </c>
      <c r="P41" s="17">
        <f t="shared" si="10"/>
        <v>0.58788701604427274</v>
      </c>
      <c r="Q41">
        <f t="shared" si="11"/>
        <v>-3.4690795781399446</v>
      </c>
      <c r="R41" s="17">
        <f t="shared" si="12"/>
        <v>-6.9381687865827439</v>
      </c>
      <c r="T41">
        <f t="shared" si="13"/>
        <v>16.178034199693062</v>
      </c>
    </row>
    <row r="42" spans="1:20" x14ac:dyDescent="0.2">
      <c r="A42" s="20">
        <f>42323.5000001157-365</f>
        <v>41958.500000115702</v>
      </c>
      <c r="B42" s="17">
        <f>'All Experimental Diel Data'!O22</f>
        <v>256.875</v>
      </c>
      <c r="C42" s="17">
        <f>'All Experimental Diel Data'!P22</f>
        <v>254.36013986013984</v>
      </c>
      <c r="D42" s="17">
        <f>'All Experimental Diel Data'!R22</f>
        <v>186.8510005</v>
      </c>
      <c r="E42" s="17">
        <f>'All Experimental Diel Data'!T22</f>
        <v>2.7777800000000004</v>
      </c>
      <c r="F42">
        <f>'All Experimental Diel Data'!V22</f>
        <v>2.6180175650463898E-2</v>
      </c>
      <c r="G42">
        <f>'All Experimental Diel Data'!X22</f>
        <v>2.4148991698302851E-2</v>
      </c>
      <c r="H42" s="17">
        <f>'All Experimental Diel Data'!H22</f>
        <v>1952.6342937062936</v>
      </c>
      <c r="I42" s="17">
        <f>'All Experimental Diel Data'!E22</f>
        <v>2298.2571188811185</v>
      </c>
      <c r="J42" s="13">
        <f>'All Experimental Diel Data'!J22</f>
        <v>9.9123859999999997</v>
      </c>
      <c r="K42" s="13">
        <f>'All Experimental Diel Data'!K22</f>
        <v>10.159784215188049</v>
      </c>
      <c r="M42">
        <f t="shared" si="7"/>
        <v>6.7211639099373253</v>
      </c>
      <c r="N42" s="17">
        <f t="shared" si="8"/>
        <v>26.88467430774816</v>
      </c>
      <c r="O42">
        <f>($B$3*$B$2*($B$4/$B$12)*(H42-$B$17)-Q42+G42*(J42-K42))/1000</f>
        <v>-2.967464545606262</v>
      </c>
      <c r="P42" s="17">
        <f t="shared" si="10"/>
        <v>-11.869866424542856</v>
      </c>
      <c r="Q42">
        <f t="shared" si="11"/>
        <v>-3.952737502497552</v>
      </c>
      <c r="R42" s="17">
        <f t="shared" si="12"/>
        <v>-15.810960988698683</v>
      </c>
      <c r="T42">
        <f t="shared" si="13"/>
        <v>-2.2649517143815348</v>
      </c>
    </row>
    <row r="43" spans="1:20" x14ac:dyDescent="0.2">
      <c r="A43" s="20">
        <f>42323.6666668981-365</f>
        <v>41958.666666898098</v>
      </c>
      <c r="B43" s="17">
        <f>'All Experimental Diel Data'!O23</f>
        <v>263.75</v>
      </c>
      <c r="C43" s="17">
        <f>'All Experimental Diel Data'!P23</f>
        <v>261.09479865771812</v>
      </c>
      <c r="D43" s="17">
        <f>'All Experimental Diel Data'!R23</f>
        <v>186.290595</v>
      </c>
      <c r="E43" s="17">
        <f>'All Experimental Diel Data'!T23</f>
        <v>2.7777800000000004</v>
      </c>
      <c r="F43">
        <f>'All Experimental Diel Data'!V23</f>
        <v>2.6299860129313547E-2</v>
      </c>
      <c r="G43">
        <f>'All Experimental Diel Data'!X23</f>
        <v>2.4258594522323415E-2</v>
      </c>
      <c r="H43" s="17">
        <f>'All Experimental Diel Data'!H23</f>
        <v>1930.7255033557046</v>
      </c>
      <c r="I43" s="17">
        <f>'All Experimental Diel Data'!E23</f>
        <v>2286.6261744966446</v>
      </c>
      <c r="J43" s="13">
        <f>'All Experimental Diel Data'!J23</f>
        <v>9.3915009999999999</v>
      </c>
      <c r="K43" s="13">
        <f>'All Experimental Diel Data'!K23</f>
        <v>10.115222163451257</v>
      </c>
      <c r="M43">
        <f t="shared" si="7"/>
        <v>7.5102850142784643</v>
      </c>
      <c r="N43" s="17">
        <f t="shared" si="8"/>
        <v>15.020580477462591</v>
      </c>
      <c r="O43">
        <f t="shared" si="9"/>
        <v>-5.5325719438024583</v>
      </c>
      <c r="P43" s="17">
        <f t="shared" si="10"/>
        <v>-11.065151584958906</v>
      </c>
      <c r="Q43">
        <f t="shared" si="11"/>
        <v>-5.3152195589644915</v>
      </c>
      <c r="R43" s="17">
        <f t="shared" si="12"/>
        <v>-10.630446512885053</v>
      </c>
      <c r="T43">
        <f t="shared" si="13"/>
        <v>-1.3574672124582896</v>
      </c>
    </row>
    <row r="44" spans="1:20" x14ac:dyDescent="0.2">
      <c r="A44" s="20">
        <f>42323.7500002894-365</f>
        <v>41958.750000289401</v>
      </c>
      <c r="B44" s="17">
        <f>'All Experimental Diel Data'!O24</f>
        <v>228.75</v>
      </c>
      <c r="C44" s="17">
        <f>'All Experimental Diel Data'!P24</f>
        <v>226.4471476510067</v>
      </c>
      <c r="D44" s="17">
        <f>'All Experimental Diel Data'!R24</f>
        <v>189.50505939999999</v>
      </c>
      <c r="E44" s="17">
        <f>'All Experimental Diel Data'!T24</f>
        <v>3.0555580000000004</v>
      </c>
      <c r="F44">
        <f>'All Experimental Diel Data'!V24</f>
        <v>3.0995245850953809E-2</v>
      </c>
      <c r="G44">
        <f>'All Experimental Diel Data'!X24</f>
        <v>2.8594297276673234E-2</v>
      </c>
      <c r="H44" s="17">
        <f>'All Experimental Diel Data'!H24</f>
        <v>1971.0355704697986</v>
      </c>
      <c r="I44" s="17">
        <f>'All Experimental Diel Data'!E24</f>
        <v>2301.4058724832212</v>
      </c>
      <c r="J44" s="13">
        <f>'All Experimental Diel Data'!J24</f>
        <v>10.511736000000001</v>
      </c>
      <c r="K44" s="13">
        <f>'All Experimental Diel Data'!K24</f>
        <v>10.374727786776434</v>
      </c>
      <c r="M44">
        <f t="shared" si="7"/>
        <v>3.4507394171288026</v>
      </c>
      <c r="N44" s="17">
        <f t="shared" si="8"/>
        <v>13.802967252926535</v>
      </c>
      <c r="O44">
        <f t="shared" si="9"/>
        <v>-0.81224537237519323</v>
      </c>
      <c r="P44" s="17">
        <f t="shared" si="10"/>
        <v>-3.2489837455081978</v>
      </c>
      <c r="Q44">
        <f t="shared" si="11"/>
        <v>-3.5838835091083765</v>
      </c>
      <c r="R44" s="17">
        <f t="shared" si="12"/>
        <v>-14.335543990651875</v>
      </c>
      <c r="T44">
        <f t="shared" si="13"/>
        <v>-4.2483952934542959</v>
      </c>
    </row>
    <row r="45" spans="1:20" x14ac:dyDescent="0.2">
      <c r="A45" s="20">
        <f>42323.9166670718-365</f>
        <v>41958.916667071797</v>
      </c>
      <c r="B45" s="17">
        <f>'All Experimental Diel Data'!O25</f>
        <v>170.625</v>
      </c>
      <c r="C45" s="17">
        <f>'All Experimental Diel Data'!P25</f>
        <v>168.95454545454544</v>
      </c>
      <c r="D45" s="17">
        <f>'All Experimental Diel Data'!R25</f>
        <v>192.6491389</v>
      </c>
      <c r="E45" s="17">
        <f>'All Experimental Diel Data'!T25</f>
        <v>3.6111140000000002</v>
      </c>
      <c r="F45">
        <f>'All Experimental Diel Data'!V25</f>
        <v>4.2229884597660361E-2</v>
      </c>
      <c r="G45">
        <f>'All Experimental Diel Data'!X25</f>
        <v>3.8962308781060336E-2</v>
      </c>
      <c r="H45" s="17">
        <f>'All Experimental Diel Data'!H25</f>
        <v>2069.7959160839164</v>
      </c>
      <c r="I45" s="17">
        <f>'All Experimental Diel Data'!E25</f>
        <v>2330.1319720279721</v>
      </c>
      <c r="J45" s="13">
        <f>'All Experimental Diel Data'!J25</f>
        <v>14.836183</v>
      </c>
      <c r="K45" s="13">
        <f>'All Experimental Diel Data'!K25</f>
        <v>10.631353461475461</v>
      </c>
      <c r="M45">
        <f t="shared" si="7"/>
        <v>-3.2862547521687868</v>
      </c>
      <c r="N45" s="17">
        <f t="shared" si="8"/>
        <v>-6.5725140684025005</v>
      </c>
      <c r="O45">
        <f t="shared" si="9"/>
        <v>10.753618540116637</v>
      </c>
      <c r="P45" s="17">
        <f t="shared" si="10"/>
        <v>21.507252015232815</v>
      </c>
      <c r="Q45">
        <f t="shared" si="11"/>
        <v>-0.21882613386612579</v>
      </c>
      <c r="R45" s="17">
        <f t="shared" si="12"/>
        <v>-0.43765257164559912</v>
      </c>
      <c r="T45">
        <f t="shared" si="13"/>
        <v>-0.3055952505576921</v>
      </c>
    </row>
    <row r="46" spans="1:20" x14ac:dyDescent="0.2">
      <c r="A46" s="20">
        <f>42324.000000463-365</f>
        <v>41959.000000462998</v>
      </c>
      <c r="B46" s="17">
        <f>'All Experimental Diel Data'!O26</f>
        <v>174.375</v>
      </c>
      <c r="C46" s="17">
        <f>'All Experimental Diel Data'!P26</f>
        <v>172.66783216783216</v>
      </c>
      <c r="D46" s="17">
        <f>'All Experimental Diel Data'!R26</f>
        <v>192.90309669999999</v>
      </c>
      <c r="E46" s="17">
        <f>'All Experimental Diel Data'!T26</f>
        <v>3.6111140000000002</v>
      </c>
      <c r="F46">
        <f>'All Experimental Diel Data'!V26</f>
        <v>4.214654941515248E-2</v>
      </c>
      <c r="G46">
        <f>'All Experimental Diel Data'!X26</f>
        <v>3.8885593954665232E-2</v>
      </c>
      <c r="H46" s="17">
        <f>'All Experimental Diel Data'!H26</f>
        <v>2075.2420699300701</v>
      </c>
      <c r="I46" s="17">
        <f>'All Experimental Diel Data'!E26</f>
        <v>2332.7956363636367</v>
      </c>
      <c r="J46" s="13">
        <f>'All Experimental Diel Data'!J26</f>
        <v>15.059975</v>
      </c>
      <c r="K46" s="13">
        <f>'All Experimental Diel Data'!K26</f>
        <v>10.652255214851307</v>
      </c>
      <c r="M46">
        <f t="shared" si="7"/>
        <v>-2.8511205556827965</v>
      </c>
      <c r="N46" s="17">
        <f t="shared" si="8"/>
        <v>-5.70224507110101</v>
      </c>
      <c r="O46">
        <f t="shared" si="9"/>
        <v>11.391292099778875</v>
      </c>
      <c r="P46" s="17">
        <f t="shared" si="10"/>
        <v>22.782600020180514</v>
      </c>
      <c r="Q46">
        <f t="shared" si="11"/>
        <v>9.3203116883159964E-2</v>
      </c>
      <c r="R46" s="17">
        <f t="shared" si="12"/>
        <v>0.18640636321005113</v>
      </c>
      <c r="T46">
        <f t="shared" si="13"/>
        <v>-0.25028947820047048</v>
      </c>
    </row>
    <row r="47" spans="1:20" x14ac:dyDescent="0.2">
      <c r="A47" s="20">
        <f>42324.0833338542-365</f>
        <v>41959.0833338542</v>
      </c>
      <c r="B47" s="17">
        <f>'All Experimental Diel Data'!O27</f>
        <v>172.5</v>
      </c>
      <c r="C47" s="17">
        <f>'All Experimental Diel Data'!P27</f>
        <v>170.8111888111888</v>
      </c>
      <c r="D47" s="17">
        <f>'All Experimental Diel Data'!R27</f>
        <v>193.0749495</v>
      </c>
      <c r="E47" s="17">
        <f>'All Experimental Diel Data'!T27</f>
        <v>3.7500030000000004</v>
      </c>
      <c r="F47">
        <f>'All Experimental Diel Data'!V27</f>
        <v>4.5390364216149746E-2</v>
      </c>
      <c r="G47">
        <f>'All Experimental Diel Data'!X27</f>
        <v>4.1878543426802375E-2</v>
      </c>
      <c r="H47" s="17">
        <f>'All Experimental Diel Data'!H27</f>
        <v>2084.1440559440557</v>
      </c>
      <c r="I47" s="17">
        <f>'All Experimental Diel Data'!E27</f>
        <v>2336.9149090909091</v>
      </c>
      <c r="J47" s="13">
        <f>'All Experimental Diel Data'!J27</f>
        <v>15.467644</v>
      </c>
      <c r="K47" s="13">
        <f>'All Experimental Diel Data'!K27</f>
        <v>10.666410705276967</v>
      </c>
      <c r="M47">
        <f t="shared" si="7"/>
        <v>-3.0687660722837031</v>
      </c>
      <c r="N47" s="17">
        <f t="shared" si="8"/>
        <v>-6.1375364065764879</v>
      </c>
      <c r="O47">
        <f t="shared" si="9"/>
        <v>12.433643304181484</v>
      </c>
      <c r="P47" s="17">
        <f t="shared" si="10"/>
        <v>24.867303876639347</v>
      </c>
      <c r="Q47">
        <f t="shared" si="11"/>
        <v>0.57574649350649187</v>
      </c>
      <c r="R47" s="17">
        <f t="shared" si="12"/>
        <v>1.1514937866297439</v>
      </c>
      <c r="T47">
        <f t="shared" si="13"/>
        <v>-0.2468114933980505</v>
      </c>
    </row>
    <row r="48" spans="1:20" x14ac:dyDescent="0.2">
      <c r="A48" s="20">
        <f>42324.1666672454-365</f>
        <v>41959.166667245401</v>
      </c>
      <c r="B48" s="17">
        <f>'All Experimental Diel Data'!O28</f>
        <v>161.875</v>
      </c>
      <c r="C48" s="17">
        <f>'All Experimental Diel Data'!P28</f>
        <v>160.29020979020979</v>
      </c>
      <c r="D48" s="17">
        <f>'All Experimental Diel Data'!R28</f>
        <v>193.28682230000001</v>
      </c>
      <c r="E48" s="17">
        <f>'All Experimental Diel Data'!T28</f>
        <v>3.8888920000000002</v>
      </c>
      <c r="F48">
        <f>'All Experimental Diel Data'!V28</f>
        <v>4.8734847089497213E-2</v>
      </c>
      <c r="G48">
        <f>'All Experimental Diel Data'!X28</f>
        <v>4.4964404610395185E-2</v>
      </c>
      <c r="H48" s="17">
        <f>'All Experimental Diel Data'!H28</f>
        <v>2095.4225454545453</v>
      </c>
      <c r="I48" s="17">
        <f>'All Experimental Diel Data'!E28</f>
        <v>2336.4594125874128</v>
      </c>
      <c r="J48" s="13">
        <f>'All Experimental Diel Data'!J28</f>
        <v>16.399994</v>
      </c>
      <c r="K48" s="13">
        <f>'All Experimental Diel Data'!K28</f>
        <v>10.683875646559432</v>
      </c>
      <c r="M48">
        <f t="shared" si="7"/>
        <v>-4.3018205606463038</v>
      </c>
      <c r="N48" s="17">
        <f>(A49-A48)*24*M48</f>
        <v>-8.6036470958106595</v>
      </c>
      <c r="O48">
        <f t="shared" si="9"/>
        <v>13.75494710105923</v>
      </c>
      <c r="P48" s="17">
        <f t="shared" si="10"/>
        <v>27.509913305467521</v>
      </c>
      <c r="Q48">
        <f t="shared" si="11"/>
        <v>0.52238833166835319</v>
      </c>
      <c r="R48" s="17">
        <f>(A49-A48)*24*Q48</f>
        <v>1.0447773888477949</v>
      </c>
      <c r="T48">
        <f t="shared" si="13"/>
        <v>-0.31274715409956266</v>
      </c>
    </row>
    <row r="49" spans="1:20" x14ac:dyDescent="0.2">
      <c r="A49" s="20">
        <f>42324.2500006366-365</f>
        <v>41959.250000636603</v>
      </c>
      <c r="B49" s="17">
        <f>'All Experimental Diel Data'!O29</f>
        <v>178.4375</v>
      </c>
      <c r="C49" s="17">
        <f>'All Experimental Diel Data'!P29</f>
        <v>176.73999720201454</v>
      </c>
      <c r="D49" s="17">
        <f>'All Experimental Diel Data'!R29</f>
        <v>193.10342739999999</v>
      </c>
      <c r="E49" s="17">
        <f>'All Experimental Diel Data'!T29</f>
        <v>3.8888920000000002</v>
      </c>
      <c r="F49">
        <f>'All Experimental Diel Data'!V29</f>
        <v>4.880873422743795E-2</v>
      </c>
      <c r="G49">
        <f>'All Experimental Diel Data'!X29</f>
        <v>4.5032447681771004E-2</v>
      </c>
      <c r="H49" s="17">
        <f>'All Experimental Diel Data'!H29</f>
        <v>2072.8512590934529</v>
      </c>
      <c r="I49" s="17">
        <f>'All Experimental Diel Data'!E29</f>
        <v>2335.4293228875208</v>
      </c>
      <c r="J49" s="13">
        <f>'All Experimental Diel Data'!J29</f>
        <v>14.699607</v>
      </c>
      <c r="K49" s="13">
        <f>'All Experimental Diel Data'!K29</f>
        <v>10.668292223098069</v>
      </c>
    </row>
    <row r="50" spans="1:20" x14ac:dyDescent="0.2">
      <c r="A50" s="20">
        <f>42324.3333340278-365</f>
        <v>41959.333334027797</v>
      </c>
      <c r="B50" s="17">
        <f>'All Experimental Diel Data'!O30</f>
        <v>197.5</v>
      </c>
      <c r="C50" s="17">
        <f>'All Experimental Diel Data'!P30</f>
        <v>195.62115277000558</v>
      </c>
      <c r="D50" s="17">
        <f>'All Experimental Diel Data'!R30</f>
        <v>192.18131289999999</v>
      </c>
      <c r="E50" s="17">
        <f>'All Experimental Diel Data'!T30</f>
        <v>3.8888920000000002</v>
      </c>
      <c r="F50">
        <f>'All Experimental Diel Data'!V30</f>
        <v>4.9160591507023101E-2</v>
      </c>
      <c r="G50">
        <f>'All Experimental Diel Data'!X30</f>
        <v>4.5356308670167031E-2</v>
      </c>
      <c r="H50" s="17">
        <f>'All Experimental Diel Data'!H30</f>
        <v>2045.1176273083379</v>
      </c>
      <c r="I50" s="17">
        <f>'All Experimental Diel Data'!E30</f>
        <v>2320.8295467263565</v>
      </c>
      <c r="J50" s="13">
        <f>'All Experimental Diel Data'!J30</f>
        <v>13.666397</v>
      </c>
      <c r="K50" s="13">
        <f>'All Experimental Diel Data'!K30</f>
        <v>10.592442597319279</v>
      </c>
    </row>
    <row r="51" spans="1:20" x14ac:dyDescent="0.2">
      <c r="A51" s="20">
        <f>42324.416667419-365</f>
        <v>41959.416667418998</v>
      </c>
      <c r="B51" s="17">
        <f>'All Experimental Diel Data'!O31</f>
        <v>237.5</v>
      </c>
      <c r="C51" s="17">
        <f>'All Experimental Diel Data'!P31</f>
        <v>235.24062674874088</v>
      </c>
      <c r="D51" s="17">
        <f>'All Experimental Diel Data'!R31</f>
        <v>189.38870399999999</v>
      </c>
      <c r="E51" s="17">
        <f>'All Experimental Diel Data'!T31</f>
        <v>3.8888920000000002</v>
      </c>
      <c r="F51">
        <f>'All Experimental Diel Data'!V31</f>
        <v>5.0263963415743164E-2</v>
      </c>
      <c r="G51">
        <f>'All Experimental Diel Data'!X31</f>
        <v>4.6370154515914315E-2</v>
      </c>
      <c r="H51" s="17">
        <f>'All Experimental Diel Data'!H31</f>
        <v>1979.6563514269726</v>
      </c>
      <c r="I51" s="17">
        <f>'All Experimental Diel Data'!E31</f>
        <v>2300.5047565752657</v>
      </c>
      <c r="J51" s="13">
        <f>'All Experimental Diel Data'!J31</f>
        <v>10.975228</v>
      </c>
      <c r="K51" s="13">
        <f>'All Experimental Diel Data'!K31</f>
        <v>10.364385115915622</v>
      </c>
    </row>
    <row r="53" spans="1:20" x14ac:dyDescent="0.2">
      <c r="M53" s="1" t="s">
        <v>338</v>
      </c>
      <c r="N53" s="48">
        <f>SUM(N39:N48)</f>
        <v>40.864959728268794</v>
      </c>
      <c r="P53" s="48">
        <f>SUM(P39:P48)</f>
        <v>110.43134778460673</v>
      </c>
      <c r="R53" s="48">
        <f>SUM(R39:R48)</f>
        <v>-48.257845307378822</v>
      </c>
      <c r="T53" s="1">
        <f>SLOPE(M39:M48,O39:O48)</f>
        <v>-0.55429395686164529</v>
      </c>
    </row>
    <row r="55" spans="1:20" x14ac:dyDescent="0.2">
      <c r="A55" s="10" t="s">
        <v>243</v>
      </c>
    </row>
    <row r="56" spans="1:20" x14ac:dyDescent="0.2">
      <c r="A56" t="s">
        <v>71</v>
      </c>
      <c r="B56" t="s">
        <v>83</v>
      </c>
      <c r="C56" t="s">
        <v>333</v>
      </c>
      <c r="D56" t="s">
        <v>245</v>
      </c>
      <c r="E56" t="s">
        <v>68</v>
      </c>
      <c r="F56" t="s">
        <v>312</v>
      </c>
      <c r="G56" t="s">
        <v>313</v>
      </c>
      <c r="H56" t="s">
        <v>235</v>
      </c>
      <c r="I56" t="s">
        <v>236</v>
      </c>
      <c r="J56" t="s">
        <v>246</v>
      </c>
      <c r="K56" t="s">
        <v>237</v>
      </c>
      <c r="M56" t="s">
        <v>238</v>
      </c>
      <c r="N56" t="s">
        <v>334</v>
      </c>
      <c r="O56" t="s">
        <v>239</v>
      </c>
      <c r="P56" t="s">
        <v>335</v>
      </c>
      <c r="Q56" s="2" t="s">
        <v>240</v>
      </c>
      <c r="R56" s="2" t="s">
        <v>336</v>
      </c>
      <c r="T56" t="s">
        <v>241</v>
      </c>
    </row>
    <row r="57" spans="1:20" x14ac:dyDescent="0.2">
      <c r="A57" s="11">
        <v>42300.260416666664</v>
      </c>
      <c r="B57" s="17">
        <f>'All Experimental Diel Data'!O36</f>
        <v>187.34</v>
      </c>
      <c r="C57" s="17">
        <f>'All Experimental Diel Data'!P36</f>
        <v>183.40102266850664</v>
      </c>
      <c r="D57" s="17">
        <f>'All Experimental Diel Data'!R36</f>
        <v>196.04518999997268</v>
      </c>
      <c r="E57" s="17">
        <f>'All Experimental Diel Data'!T36</f>
        <v>4.91744</v>
      </c>
      <c r="F57">
        <f>'All Experimental Diel Data'!V36</f>
        <v>7.6008171687422424E-2</v>
      </c>
      <c r="G57">
        <f>'All Experimental Diel Data'!X36</f>
        <v>7.0128318523338687E-2</v>
      </c>
      <c r="H57" s="17">
        <f>'All Experimental Diel Data'!H36</f>
        <v>2008.8060663213521</v>
      </c>
      <c r="I57" s="17">
        <f>'All Experimental Diel Data'!E36</f>
        <v>2329.5669560263605</v>
      </c>
      <c r="J57" s="13">
        <f>'All Experimental Diel Data'!J36</f>
        <v>11.059618116988261</v>
      </c>
      <c r="K57" s="13">
        <f>'All Experimental Diel Data'!K36</f>
        <v>10.932284338086886</v>
      </c>
      <c r="M57">
        <f>($B$3*$B$2*($B$4/$B$12)*(C57-$B$16)+F57*(B57-D57))/1000</f>
        <v>-1.5936847244081687</v>
      </c>
      <c r="N57" s="17">
        <f>(A58-A57)*24*M57</f>
        <v>-2.7889482678998245</v>
      </c>
      <c r="O57">
        <f>($B$3*$B$2*($B$4/$B$12)*(H57-$B$17)-Q57+G57*(J57-K57))/1000</f>
        <v>3.609004569641963</v>
      </c>
      <c r="P57" s="17">
        <f>(A58-A57)*24*O57</f>
        <v>6.3157579972935789</v>
      </c>
      <c r="Q57">
        <f>($B$3*$B$2*($B$4/$B$12)*(I57-$B$18)/1000)</f>
        <v>-0.28501372262634633</v>
      </c>
      <c r="R57" s="17">
        <f>(A58-A57)*24*Q57</f>
        <v>-0.49877401462928606</v>
      </c>
      <c r="T57">
        <f>M57/O57</f>
        <v>-0.44158567650865366</v>
      </c>
    </row>
    <row r="58" spans="1:20" x14ac:dyDescent="0.2">
      <c r="A58" s="11">
        <v>42300.333333333336</v>
      </c>
      <c r="B58" s="17">
        <f>'All Experimental Diel Data'!O37</f>
        <v>200.71</v>
      </c>
      <c r="C58" s="17">
        <f>'All Experimental Diel Data'!P37</f>
        <v>196.36012403203611</v>
      </c>
      <c r="D58" s="17">
        <f>'All Experimental Diel Data'!R37</f>
        <v>194.73554071876001</v>
      </c>
      <c r="E58" s="17">
        <f>'All Experimental Diel Data'!T37</f>
        <v>4.4703999999999997</v>
      </c>
      <c r="F58">
        <f>'All Experimental Diel Data'!V37</f>
        <v>6.3426713720210817E-2</v>
      </c>
      <c r="G58">
        <f>'All Experimental Diel Data'!X37</f>
        <v>5.8520421328024652E-2</v>
      </c>
      <c r="H58" s="17">
        <f>'All Experimental Diel Data'!H37</f>
        <v>1993.743512361749</v>
      </c>
      <c r="I58" s="17">
        <f>'All Experimental Diel Data'!E37</f>
        <v>2334.2406354154577</v>
      </c>
      <c r="J58" s="13">
        <f>'All Experimental Diel Data'!J37</f>
        <v>10.217888079467469</v>
      </c>
      <c r="K58" s="13">
        <f>'All Experimental Diel Data'!K37</f>
        <v>10.824283507235906</v>
      </c>
      <c r="M58">
        <f t="shared" ref="M58:M67" si="14">($B$3*$B$2*($B$4/$B$12)*(C58-$B$16)+F58*(B58-D58))/1000</f>
        <v>-7.4577958785876974E-2</v>
      </c>
      <c r="N58" s="17">
        <f t="shared" ref="N58:N67" si="15">(A59-A58)*24*M58</f>
        <v>-0.14915591756307192</v>
      </c>
      <c r="O58">
        <f t="shared" ref="O58:O67" si="16">($B$3*$B$2*($B$4/$B$12)*(H58-$B$17)-Q58+G58*(J58-K58))/1000</f>
        <v>1.8439420585688646</v>
      </c>
      <c r="P58" s="17">
        <f t="shared" ref="P58:P67" si="17">(A59-A58)*24*O58</f>
        <v>3.6878841169230663</v>
      </c>
      <c r="Q58">
        <f t="shared" ref="Q58:Q67" si="18">($B$3*$B$2*($B$4/$B$12)*(I58-$B$18)/1000)</f>
        <v>0.26247443438219309</v>
      </c>
      <c r="R58" s="17">
        <f t="shared" ref="R58:R67" si="19">(A59-A58)*24*Q58</f>
        <v>0.52494886873383018</v>
      </c>
      <c r="T58">
        <f t="shared" ref="T58:T67" si="20">M58/O58</f>
        <v>-4.0444849359181613E-2</v>
      </c>
    </row>
    <row r="59" spans="1:20" x14ac:dyDescent="0.2">
      <c r="A59" s="11">
        <v>42300.416666666664</v>
      </c>
      <c r="B59" s="17">
        <f>'All Experimental Diel Data'!O38</f>
        <v>221.68</v>
      </c>
      <c r="C59" s="17">
        <f>'All Experimental Diel Data'!P38</f>
        <v>216.81693098303583</v>
      </c>
      <c r="D59" s="17">
        <f>'All Experimental Diel Data'!R38</f>
        <v>192.77186466687905</v>
      </c>
      <c r="E59" s="17">
        <f>'All Experimental Diel Data'!T38</f>
        <v>3.5763199999999999</v>
      </c>
      <c r="F59">
        <f>'All Experimental Diel Data'!V38</f>
        <v>4.120632651555968E-2</v>
      </c>
      <c r="G59">
        <f>'All Experimental Diel Data'!X38</f>
        <v>3.8018353993463261E-2</v>
      </c>
      <c r="H59" s="17">
        <f>'All Experimental Diel Data'!H38</f>
        <v>1959.8859755760623</v>
      </c>
      <c r="I59" s="17">
        <f>'All Experimental Diel Data'!E38</f>
        <v>2321.6077802950758</v>
      </c>
      <c r="J59" s="13">
        <f>'All Experimental Diel Data'!J38</f>
        <v>9.2723825295105105</v>
      </c>
      <c r="K59" s="13">
        <f>'All Experimental Diel Data'!K38</f>
        <v>10.662062176407076</v>
      </c>
      <c r="M59">
        <f t="shared" si="14"/>
        <v>2.3226031132191189</v>
      </c>
      <c r="N59" s="17">
        <f t="shared" si="15"/>
        <v>4.6452062265734311</v>
      </c>
      <c r="O59">
        <f t="shared" si="16"/>
        <v>-2.1207640344000249</v>
      </c>
      <c r="P59" s="17">
        <f t="shared" si="17"/>
        <v>-4.2415280689234942</v>
      </c>
      <c r="Q59">
        <f t="shared" si="18"/>
        <v>-1.2173743082911173</v>
      </c>
      <c r="R59" s="17">
        <f t="shared" si="19"/>
        <v>-2.4347486166530952</v>
      </c>
      <c r="T59">
        <f t="shared" si="20"/>
        <v>-1.0951728129792597</v>
      </c>
    </row>
    <row r="60" spans="1:20" x14ac:dyDescent="0.2">
      <c r="A60" s="11">
        <v>42300.5</v>
      </c>
      <c r="B60" s="17">
        <f>'All Experimental Diel Data'!O39</f>
        <v>229.12</v>
      </c>
      <c r="C60" s="17">
        <f>'All Experimental Diel Data'!P39</f>
        <v>224.11229311154705</v>
      </c>
      <c r="D60" s="17">
        <f>'All Experimental Diel Data'!R39</f>
        <v>191.41352172236196</v>
      </c>
      <c r="E60" s="17">
        <f>'All Experimental Diel Data'!T39</f>
        <v>3.1292800000000001</v>
      </c>
      <c r="F60">
        <f>'All Experimental Diel Data'!V39</f>
        <v>3.1886455088909971E-2</v>
      </c>
      <c r="G60">
        <f>'All Experimental Diel Data'!X39</f>
        <v>2.9418780901385441E-2</v>
      </c>
      <c r="H60" s="17">
        <f>'All Experimental Diel Data'!H39</f>
        <v>1938.822718355392</v>
      </c>
      <c r="I60" s="17">
        <f>'All Experimental Diel Data'!E39</f>
        <v>2292.788483324583</v>
      </c>
      <c r="J60" s="13">
        <f>'All Experimental Diel Data'!J39</f>
        <v>9.4031468963436726</v>
      </c>
      <c r="K60" s="13">
        <f>'All Experimental Diel Data'!K39</f>
        <v>10.55009504166574</v>
      </c>
      <c r="M60">
        <f t="shared" si="14"/>
        <v>3.1772138047073861</v>
      </c>
      <c r="N60" s="17">
        <f t="shared" si="15"/>
        <v>6.3544276095997105</v>
      </c>
      <c r="O60">
        <f t="shared" si="16"/>
        <v>-4.5847790996597233</v>
      </c>
      <c r="P60" s="17">
        <f t="shared" si="17"/>
        <v>-9.1695581995863158</v>
      </c>
      <c r="Q60">
        <f t="shared" si="18"/>
        <v>-4.5933490962631334</v>
      </c>
      <c r="R60" s="17">
        <f t="shared" si="19"/>
        <v>-9.1866981927936351</v>
      </c>
      <c r="T60">
        <f t="shared" si="20"/>
        <v>-0.69299168741700012</v>
      </c>
    </row>
    <row r="61" spans="1:20" x14ac:dyDescent="0.2">
      <c r="A61" s="11">
        <v>42300.583333333336</v>
      </c>
      <c r="B61" s="17">
        <f>'All Experimental Diel Data'!O40</f>
        <v>226.57</v>
      </c>
      <c r="C61" s="17">
        <f>'All Experimental Diel Data'!P40</f>
        <v>221.6535489647701</v>
      </c>
      <c r="D61" s="17">
        <f>'All Experimental Diel Data'!R40</f>
        <v>191.17490579692881</v>
      </c>
      <c r="E61" s="17">
        <f>'All Experimental Diel Data'!T40</f>
        <v>2.9057599999999999</v>
      </c>
      <c r="F61">
        <f>'All Experimental Diel Data'!V40</f>
        <v>2.7547263844718239E-2</v>
      </c>
      <c r="G61">
        <f>'All Experimental Diel Data'!X40</f>
        <v>2.5415244670239982E-2</v>
      </c>
      <c r="H61" s="17">
        <f>'All Experimental Diel Data'!H40</f>
        <v>1942.8118954710765</v>
      </c>
      <c r="I61" s="17">
        <f>'All Experimental Diel Data'!E40</f>
        <v>2312.8589589113776</v>
      </c>
      <c r="J61" s="13">
        <f>'All Experimental Diel Data'!J40</f>
        <v>8.9313633874982603</v>
      </c>
      <c r="K61" s="13">
        <f>'All Experimental Diel Data'!K40</f>
        <v>10.530246521086012</v>
      </c>
      <c r="M61">
        <f t="shared" si="14"/>
        <v>2.8889622024433179</v>
      </c>
      <c r="N61" s="17">
        <f t="shared" si="15"/>
        <v>5.7779244045503164</v>
      </c>
      <c r="O61">
        <f t="shared" si="16"/>
        <v>-4.1198335017238437</v>
      </c>
      <c r="P61" s="17">
        <f t="shared" si="17"/>
        <v>-8.2396670029680763</v>
      </c>
      <c r="Q61">
        <f t="shared" si="18"/>
        <v>-2.2422362418100512</v>
      </c>
      <c r="R61" s="17">
        <f t="shared" si="19"/>
        <v>-4.4844724833590721</v>
      </c>
      <c r="T61">
        <f t="shared" si="20"/>
        <v>-0.70123275642923488</v>
      </c>
    </row>
    <row r="62" spans="1:20" x14ac:dyDescent="0.2">
      <c r="A62" s="11">
        <v>42300.666666666664</v>
      </c>
      <c r="B62" s="17">
        <f>'All Experimental Diel Data'!O41</f>
        <v>221.94</v>
      </c>
      <c r="C62" s="17">
        <f>'All Experimental Diel Data'!P41</f>
        <v>217.05323645605986</v>
      </c>
      <c r="D62" s="17">
        <f>'All Experimental Diel Data'!R41</f>
        <v>192.08487408868879</v>
      </c>
      <c r="E62" s="17">
        <f>'All Experimental Diel Data'!T41</f>
        <v>2.9057599999999999</v>
      </c>
      <c r="F62">
        <f>'All Experimental Diel Data'!V41</f>
        <v>2.7347851792026381E-2</v>
      </c>
      <c r="G62">
        <f>'All Experimental Diel Data'!X41</f>
        <v>2.5231777728675769E-2</v>
      </c>
      <c r="H62" s="17">
        <f>'All Experimental Diel Data'!H41</f>
        <v>1939.4402022267036</v>
      </c>
      <c r="I62" s="17">
        <f>'All Experimental Diel Data'!E41</f>
        <v>2297.7579909937281</v>
      </c>
      <c r="J62" s="13">
        <f>'All Experimental Diel Data'!J41</f>
        <v>9.2353411569319306</v>
      </c>
      <c r="K62" s="13">
        <f>'All Experimental Diel Data'!K41</f>
        <v>10.605569397012516</v>
      </c>
      <c r="M62">
        <f t="shared" si="14"/>
        <v>2.3499098869828101</v>
      </c>
      <c r="N62" s="17">
        <f t="shared" si="15"/>
        <v>4.1123423024934835</v>
      </c>
      <c r="O62">
        <f t="shared" si="16"/>
        <v>-4.5130282485398059</v>
      </c>
      <c r="P62" s="17">
        <f t="shared" si="17"/>
        <v>-7.8977994354700458</v>
      </c>
      <c r="Q62">
        <f t="shared" si="18"/>
        <v>-4.0112067693061402</v>
      </c>
      <c r="R62" s="17">
        <f t="shared" si="19"/>
        <v>-7.0196118467527109</v>
      </c>
      <c r="T62">
        <f t="shared" si="20"/>
        <v>-0.5206946993392132</v>
      </c>
    </row>
    <row r="63" spans="1:20" x14ac:dyDescent="0.2">
      <c r="A63" s="11">
        <v>42300.739583333336</v>
      </c>
      <c r="B63" s="17">
        <f>'All Experimental Diel Data'!O42</f>
        <v>211.03</v>
      </c>
      <c r="C63" s="17">
        <f>'All Experimental Diel Data'!P42</f>
        <v>206.4929874121699</v>
      </c>
      <c r="D63" s="17">
        <f>'All Experimental Diel Data'!R42</f>
        <v>193.29170724903125</v>
      </c>
      <c r="E63" s="17">
        <f>'All Experimental Diel Data'!T42</f>
        <v>3.1292800000000001</v>
      </c>
      <c r="F63">
        <f>'All Experimental Diel Data'!V42</f>
        <v>3.1426701319081228E-2</v>
      </c>
      <c r="G63">
        <f>'All Experimental Diel Data'!X42</f>
        <v>2.8995512395401598E-2</v>
      </c>
      <c r="H63" s="17">
        <f>'All Experimental Diel Data'!H42</f>
        <v>1949.7016402324077</v>
      </c>
      <c r="I63" s="17">
        <f>'All Experimental Diel Data'!E42</f>
        <v>2298.2239937199056</v>
      </c>
      <c r="J63" s="13">
        <f>'All Experimental Diel Data'!J42</f>
        <v>9.5926048545135885</v>
      </c>
      <c r="K63" s="13">
        <f>'All Experimental Diel Data'!K42</f>
        <v>10.704255329112073</v>
      </c>
      <c r="M63">
        <f t="shared" si="14"/>
        <v>1.1125931243109541</v>
      </c>
      <c r="N63" s="17">
        <f t="shared" si="15"/>
        <v>4.7285207781920322</v>
      </c>
      <c r="O63">
        <f t="shared" si="16"/>
        <v>-3.3110263306288275</v>
      </c>
      <c r="P63" s="17">
        <f t="shared" si="17"/>
        <v>-14.071861904787063</v>
      </c>
      <c r="Q63">
        <f t="shared" si="18"/>
        <v>-3.9566178785253445</v>
      </c>
      <c r="R63" s="17">
        <f t="shared" si="19"/>
        <v>-16.815625983272103</v>
      </c>
      <c r="T63">
        <f t="shared" si="20"/>
        <v>-0.33602666158793471</v>
      </c>
    </row>
    <row r="64" spans="1:20" x14ac:dyDescent="0.2">
      <c r="A64" s="11">
        <v>42300.916666666664</v>
      </c>
      <c r="B64" s="17">
        <f>'All Experimental Diel Data'!O43</f>
        <v>185.6</v>
      </c>
      <c r="C64" s="17">
        <f>'All Experimental Diel Data'!P43</f>
        <v>183.37771079293307</v>
      </c>
      <c r="D64" s="17">
        <f>'All Experimental Diel Data'!R43</f>
        <v>196.36357179059905</v>
      </c>
      <c r="E64" s="17">
        <f>'All Experimental Diel Data'!T43</f>
        <v>4.4703999999999997</v>
      </c>
      <c r="F64">
        <f>'All Experimental Diel Data'!V43</f>
        <v>6.2862207243451346E-2</v>
      </c>
      <c r="G64">
        <f>'All Experimental Diel Data'!X43</f>
        <v>5.7999343414252634E-2</v>
      </c>
      <c r="H64" s="17">
        <f>'All Experimental Diel Data'!H43</f>
        <v>2019.3828183873397</v>
      </c>
      <c r="I64" s="17">
        <f>'All Experimental Diel Data'!E43</f>
        <v>2322.6723603784644</v>
      </c>
      <c r="J64" s="13">
        <f>'All Experimental Diel Data'!J43</f>
        <v>11.784333322789001</v>
      </c>
      <c r="K64" s="13">
        <f>'All Experimental Diel Data'!K43</f>
        <v>10.942868458633246</v>
      </c>
      <c r="M64">
        <f t="shared" si="14"/>
        <v>-1.596430500422706</v>
      </c>
      <c r="N64" s="17">
        <f t="shared" si="15"/>
        <v>-3.2992897010346613</v>
      </c>
      <c r="O64">
        <f t="shared" si="16"/>
        <v>4.8488430532822342</v>
      </c>
      <c r="P64" s="17">
        <f t="shared" si="17"/>
        <v>10.020942310605832</v>
      </c>
      <c r="Q64">
        <f t="shared" si="18"/>
        <v>-1.0926663556655967</v>
      </c>
      <c r="R64" s="17">
        <f t="shared" si="19"/>
        <v>-2.2581771351524758</v>
      </c>
      <c r="T64">
        <f t="shared" si="20"/>
        <v>-0.32923946658617148</v>
      </c>
    </row>
    <row r="65" spans="1:20" x14ac:dyDescent="0.2">
      <c r="A65" s="11">
        <v>42301.00277777778</v>
      </c>
      <c r="B65" s="17">
        <f>'All Experimental Diel Data'!O44</f>
        <v>183.13</v>
      </c>
      <c r="C65" s="17">
        <f>'All Experimental Diel Data'!P44</f>
        <v>181.50262897075376</v>
      </c>
      <c r="D65" s="17">
        <f>'All Experimental Diel Data'!R44</f>
        <v>196.69754459875804</v>
      </c>
      <c r="E65" s="17">
        <f>'All Experimental Diel Data'!T44</f>
        <v>4.0233600000000003</v>
      </c>
      <c r="F65">
        <f>'All Experimental Diel Data'!V44</f>
        <v>5.0844647045551285E-2</v>
      </c>
      <c r="G65">
        <f>'All Experimental Diel Data'!X44</f>
        <v>4.6911361861620128E-2</v>
      </c>
      <c r="H65" s="17">
        <f>'All Experimental Diel Data'!H44</f>
        <v>2021.0342018176016</v>
      </c>
      <c r="I65" s="17">
        <f>'All Experimental Diel Data'!E44</f>
        <v>2328.096054024089</v>
      </c>
      <c r="J65" s="13">
        <f>'All Experimental Diel Data'!J44</f>
        <v>11.571991728154826</v>
      </c>
      <c r="K65" s="13">
        <f>'All Experimental Diel Data'!K44</f>
        <v>10.965349152871045</v>
      </c>
      <c r="M65">
        <f t="shared" si="14"/>
        <v>-1.8160961575852437</v>
      </c>
      <c r="N65" s="17">
        <f t="shared" si="15"/>
        <v>-3.6321923149590658</v>
      </c>
      <c r="O65">
        <f t="shared" si="16"/>
        <v>5.0416351335913028</v>
      </c>
      <c r="P65" s="17">
        <f t="shared" si="17"/>
        <v>10.083270266595681</v>
      </c>
      <c r="Q65">
        <f t="shared" si="18"/>
        <v>-0.45731938574957764</v>
      </c>
      <c r="R65" s="17">
        <f t="shared" si="19"/>
        <v>-0.91463877144591632</v>
      </c>
      <c r="T65">
        <f t="shared" si="20"/>
        <v>-0.3602196726782142</v>
      </c>
    </row>
    <row r="66" spans="1:20" x14ac:dyDescent="0.2">
      <c r="A66" s="11">
        <v>42301.086111111108</v>
      </c>
      <c r="B66" s="17">
        <f>'All Experimental Diel Data'!O45</f>
        <v>179.91</v>
      </c>
      <c r="C66" s="17">
        <f>'All Experimental Diel Data'!P45</f>
        <v>177.32279036097614</v>
      </c>
      <c r="D66" s="17">
        <f>'All Experimental Diel Data'!R45</f>
        <v>196.51217895360685</v>
      </c>
      <c r="E66" s="17">
        <f>'All Experimental Diel Data'!T45</f>
        <v>2.6822400000000002</v>
      </c>
      <c r="F66">
        <f>'All Experimental Diel Data'!V45</f>
        <v>2.2586707466406706E-2</v>
      </c>
      <c r="G66">
        <f>'All Experimental Diel Data'!X45</f>
        <v>2.0839413577218937E-2</v>
      </c>
      <c r="H66" s="17">
        <f>'All Experimental Diel Data'!H45</f>
        <v>2035.5308006069633</v>
      </c>
      <c r="I66" s="17">
        <f>'All Experimental Diel Data'!E45</f>
        <v>2327.0080325198728</v>
      </c>
      <c r="J66" s="13">
        <f>'All Experimental Diel Data'!J45</f>
        <v>12.542299624690012</v>
      </c>
      <c r="K66" s="13">
        <f>'All Experimental Diel Data'!K45</f>
        <v>10.959507289281166</v>
      </c>
      <c r="M66">
        <f t="shared" si="14"/>
        <v>-2.3054195462735532</v>
      </c>
      <c r="N66" s="17">
        <f t="shared" si="15"/>
        <v>-4.457144456164654</v>
      </c>
      <c r="O66">
        <f t="shared" si="16"/>
        <v>6.7399401146131765</v>
      </c>
      <c r="P66" s="17">
        <f t="shared" si="17"/>
        <v>13.030550888356759</v>
      </c>
      <c r="Q66">
        <f t="shared" si="18"/>
        <v>-0.58477333338632753</v>
      </c>
      <c r="R66" s="17">
        <f t="shared" si="19"/>
        <v>-1.13056177788931</v>
      </c>
      <c r="T66">
        <f t="shared" si="20"/>
        <v>-0.34205341695470948</v>
      </c>
    </row>
    <row r="67" spans="1:20" x14ac:dyDescent="0.2">
      <c r="A67" s="11">
        <v>42301.166666666664</v>
      </c>
      <c r="B67" s="17">
        <f>'All Experimental Diel Data'!O46</f>
        <v>180.34</v>
      </c>
      <c r="C67" s="17">
        <f>'All Experimental Diel Data'!P46</f>
        <v>177.36487950702622</v>
      </c>
      <c r="D67" s="17">
        <f>'All Experimental Diel Data'!R46</f>
        <v>196.60917382155415</v>
      </c>
      <c r="E67" s="17">
        <f>'All Experimental Diel Data'!T46</f>
        <v>2.45872</v>
      </c>
      <c r="F67">
        <f>'All Experimental Diel Data'!V46</f>
        <v>1.8951625330133771E-2</v>
      </c>
      <c r="G67">
        <f>'All Experimental Diel Data'!X46</f>
        <v>1.7485507888413323E-2</v>
      </c>
      <c r="H67" s="17">
        <f>'All Experimental Diel Data'!H46</f>
        <v>2031.297001150198</v>
      </c>
      <c r="I67" s="17">
        <f>'All Experimental Diel Data'!E46</f>
        <v>2322.8858859025718</v>
      </c>
      <c r="J67" s="13">
        <f>'All Experimental Diel Data'!J46</f>
        <v>12.51638159071992</v>
      </c>
      <c r="K67" s="13">
        <f>'All Experimental Diel Data'!K46</f>
        <v>10.971360214131771</v>
      </c>
      <c r="M67">
        <f t="shared" si="14"/>
        <v>-2.3004224421779118</v>
      </c>
      <c r="N67" s="17">
        <f t="shared" si="15"/>
        <v>-4.6008448844897254</v>
      </c>
      <c r="O67">
        <f t="shared" si="16"/>
        <v>6.2444576607294984</v>
      </c>
      <c r="P67" s="17">
        <f t="shared" si="17"/>
        <v>12.488915321822471</v>
      </c>
      <c r="Q67">
        <f t="shared" si="18"/>
        <v>-1.0676533656987353</v>
      </c>
      <c r="R67" s="17">
        <f t="shared" si="19"/>
        <v>-2.1353067314596159</v>
      </c>
      <c r="T67">
        <f t="shared" si="20"/>
        <v>-0.36839427331615038</v>
      </c>
    </row>
    <row r="68" spans="1:20" x14ac:dyDescent="0.2">
      <c r="A68" s="11">
        <v>42301.25</v>
      </c>
      <c r="B68" s="17">
        <f>'All Experimental Diel Data'!O47</f>
        <v>179.62</v>
      </c>
      <c r="C68" s="17">
        <f>'All Experimental Diel Data'!P47</f>
        <v>176.3461389126166</v>
      </c>
      <c r="D68" s="17">
        <f>'All Experimental Diel Data'!R47</f>
        <v>196.85353205648099</v>
      </c>
      <c r="E68" s="17">
        <f>'All Experimental Diel Data'!T47</f>
        <v>3.1292800000000001</v>
      </c>
      <c r="F68">
        <f>'All Experimental Diel Data'!V47</f>
        <v>3.0624454122267802E-2</v>
      </c>
      <c r="G68">
        <f>'All Experimental Diel Data'!X47</f>
        <v>2.8255216333297226E-2</v>
      </c>
      <c r="H68" s="17">
        <f>'All Experimental Diel Data'!H47</f>
        <v>2035.9967773426665</v>
      </c>
      <c r="I68" s="17">
        <f>'All Experimental Diel Data'!E47</f>
        <v>2326.9305991591141</v>
      </c>
      <c r="J68" s="13">
        <f>'All Experimental Diel Data'!J47</f>
        <v>12.612188097905261</v>
      </c>
      <c r="K68" s="13">
        <f>'All Experimental Diel Data'!K47</f>
        <v>10.994884949620376</v>
      </c>
    </row>
    <row r="70" spans="1:20" x14ac:dyDescent="0.2">
      <c r="M70" s="1" t="s">
        <v>338</v>
      </c>
      <c r="N70" s="48">
        <f>SUM(N57:N67)</f>
        <v>6.6908457792979705</v>
      </c>
      <c r="P70" s="48">
        <f>SUM(P57:P67)</f>
        <v>12.006906289862396</v>
      </c>
      <c r="R70" s="48">
        <f>SUM(R57:R67)</f>
        <v>-46.353666684673385</v>
      </c>
      <c r="T70" s="1">
        <f>SLOPE(M57:M67,O57:O67)</f>
        <v>-0.46623344856864452</v>
      </c>
    </row>
    <row r="72" spans="1:20" x14ac:dyDescent="0.2">
      <c r="A72" s="10" t="s">
        <v>244</v>
      </c>
    </row>
    <row r="73" spans="1:20" x14ac:dyDescent="0.2">
      <c r="A73" t="s">
        <v>71</v>
      </c>
      <c r="B73" t="s">
        <v>83</v>
      </c>
      <c r="C73" t="s">
        <v>333</v>
      </c>
      <c r="D73" t="s">
        <v>245</v>
      </c>
      <c r="E73" t="s">
        <v>68</v>
      </c>
      <c r="F73" t="s">
        <v>312</v>
      </c>
      <c r="G73" t="s">
        <v>313</v>
      </c>
      <c r="H73" t="s">
        <v>235</v>
      </c>
      <c r="I73" t="s">
        <v>236</v>
      </c>
      <c r="J73" t="s">
        <v>246</v>
      </c>
      <c r="K73" t="s">
        <v>237</v>
      </c>
      <c r="M73" t="s">
        <v>238</v>
      </c>
      <c r="N73" t="s">
        <v>334</v>
      </c>
      <c r="O73" t="s">
        <v>239</v>
      </c>
      <c r="P73" t="s">
        <v>335</v>
      </c>
      <c r="Q73" s="2" t="s">
        <v>240</v>
      </c>
      <c r="R73" s="2" t="s">
        <v>336</v>
      </c>
      <c r="T73" t="s">
        <v>241</v>
      </c>
    </row>
    <row r="74" spans="1:20" x14ac:dyDescent="0.2">
      <c r="A74" s="11">
        <v>42817.5</v>
      </c>
      <c r="B74" s="17">
        <f>'All Experimental Diel Data'!O53</f>
        <v>250.48</v>
      </c>
      <c r="C74" s="17">
        <f>'All Experimental Diel Data'!P53</f>
        <v>246.97147027120369</v>
      </c>
      <c r="D74" s="17">
        <f>'All Experimental Diel Data'!R53</f>
        <v>183.0486640383522</v>
      </c>
      <c r="E74" s="17">
        <f>'All Experimental Diel Data'!T53</f>
        <v>7.1526399999999999</v>
      </c>
      <c r="F74">
        <f>'All Experimental Diel Data'!V53</f>
        <v>0.17898203086483364</v>
      </c>
      <c r="G74">
        <f>'All Experimental Diel Data'!X53</f>
        <v>0.1650562387208224</v>
      </c>
      <c r="H74" s="17">
        <f>'All Experimental Diel Data'!H53</f>
        <v>1891.858847056923</v>
      </c>
      <c r="I74" s="17">
        <f>'All Experimental Diel Data'!E53</f>
        <v>2273.8965376055971</v>
      </c>
      <c r="J74" s="13">
        <f>'All Experimental Diel Data'!J53</f>
        <v>8.4505994075155009</v>
      </c>
      <c r="K74" s="13">
        <f>'All Experimental Diel Data'!K53</f>
        <v>9.862929576567435</v>
      </c>
      <c r="M74">
        <f>($B$3*$B$2*($B$4/$B$12)*(C74-$B$16)+F74*(B74-D74))/1000</f>
        <v>5.865869800652491</v>
      </c>
      <c r="N74" s="17">
        <f>(A75-A74)*24*M74</f>
        <v>11.731739601646421</v>
      </c>
      <c r="O74">
        <f>($B$3*$B$2*($B$4/$B$12)*(H74-$B$17)-Q74+G74*(J74-K74))/1000</f>
        <v>-10.084247481642644</v>
      </c>
      <c r="P74" s="17">
        <f>(A75-A74)*24*O74</f>
        <v>-20.168494963872266</v>
      </c>
      <c r="Q74">
        <f>($B$3*$B$2*($B$4/$B$12)*(I74-$B$18)/1000)</f>
        <v>-6.8064055947729072</v>
      </c>
      <c r="R74" s="17">
        <f>(A75-A74)*24*Q74</f>
        <v>-13.612811189941999</v>
      </c>
      <c r="T74">
        <f>M74/O74</f>
        <v>-0.58168641847899072</v>
      </c>
    </row>
    <row r="75" spans="1:20" x14ac:dyDescent="0.2">
      <c r="A75" s="11">
        <f t="shared" ref="A75:A85" si="21">A74+(1/24*2)</f>
        <v>42817.583333333336</v>
      </c>
      <c r="B75" s="17">
        <f>'All Experimental Diel Data'!O54</f>
        <v>264.07</v>
      </c>
      <c r="C75" s="17">
        <f>'All Experimental Diel Data'!P54</f>
        <v>260.22615100673943</v>
      </c>
      <c r="D75" s="17">
        <f>'All Experimental Diel Data'!R54</f>
        <v>181.66173801214927</v>
      </c>
      <c r="E75" s="17">
        <f>'All Experimental Diel Data'!T54</f>
        <v>7.5996800000000002</v>
      </c>
      <c r="F75">
        <f>'All Experimental Diel Data'!V54</f>
        <v>0.20445204919648069</v>
      </c>
      <c r="G75">
        <f>'All Experimental Diel Data'!X54</f>
        <v>0.18852653217722232</v>
      </c>
      <c r="H75" s="17">
        <f>'All Experimental Diel Data'!H54</f>
        <v>1865.6570321438414</v>
      </c>
      <c r="I75" s="17">
        <f>'All Experimental Diel Data'!E54</f>
        <v>2255.2374669082956</v>
      </c>
      <c r="J75" s="13">
        <f>'All Experimental Diel Data'!J54</f>
        <v>8.0951190332559726</v>
      </c>
      <c r="K75" s="13">
        <f>'All Experimental Diel Data'!K54</f>
        <v>9.7543111413798602</v>
      </c>
      <c r="M75">
        <f t="shared" ref="M75:M84" si="22">($B$3*$B$2*($B$4/$B$12)*(C75-$B$16)+F75*(B75-D75))/1000</f>
        <v>7.4233405131093262</v>
      </c>
      <c r="N75" s="17">
        <f t="shared" ref="N75:N84" si="23">(A76-A75)*24*M75</f>
        <v>14.846681026650748</v>
      </c>
      <c r="O75">
        <f t="shared" ref="O75:O84" si="24">($B$3*$B$2*($B$4/$B$12)*(H75-$B$17)-Q75+G75*(J75-K75))/1000</f>
        <v>-13.151496853865048</v>
      </c>
      <c r="P75" s="17">
        <f t="shared" ref="P75:P84" si="25">(A76-A75)*24*O75</f>
        <v>-26.302993708495613</v>
      </c>
      <c r="Q75">
        <f t="shared" ref="Q75:Q84" si="26">($B$3*$B$2*($B$4/$B$12)*(I75-$B$18)/1000)</f>
        <v>-8.9921824478853765</v>
      </c>
      <c r="R75" s="17">
        <f t="shared" ref="R75:R84" si="27">(A76-A75)*24*Q75</f>
        <v>-17.984364896294167</v>
      </c>
      <c r="T75">
        <f t="shared" ref="T75:T84" si="28">M75/O75</f>
        <v>-0.56444833585066068</v>
      </c>
    </row>
    <row r="76" spans="1:20" x14ac:dyDescent="0.2">
      <c r="A76" s="11">
        <f t="shared" si="21"/>
        <v>42817.666666666672</v>
      </c>
      <c r="B76" s="17">
        <f>'All Experimental Diel Data'!O55</f>
        <v>275.24</v>
      </c>
      <c r="C76" s="17">
        <f>'All Experimental Diel Data'!P55</f>
        <v>271.094701638505</v>
      </c>
      <c r="D76" s="17">
        <f>'All Experimental Diel Data'!R55</f>
        <v>181.59002954101172</v>
      </c>
      <c r="E76" s="17">
        <f>'All Experimental Diel Data'!T55</f>
        <v>7.5996800000000002</v>
      </c>
      <c r="F76">
        <f>'All Experimental Diel Data'!V55</f>
        <v>0.20454285296579278</v>
      </c>
      <c r="G76">
        <f>'All Experimental Diel Data'!X55</f>
        <v>0.18860960152469392</v>
      </c>
      <c r="H76" s="17">
        <f>'All Experimental Diel Data'!H55</f>
        <v>1819.7049633708295</v>
      </c>
      <c r="I76" s="17">
        <f>'All Experimental Diel Data'!E55</f>
        <v>2239.8308352786348</v>
      </c>
      <c r="J76" s="13">
        <f>'All Experimental Diel Data'!J55</f>
        <v>6.9819268999897925</v>
      </c>
      <c r="K76" s="13">
        <f>'All Experimental Diel Data'!K55</f>
        <v>9.7494145539233923</v>
      </c>
      <c r="M76">
        <f t="shared" si="22"/>
        <v>8.6988204812198582</v>
      </c>
      <c r="N76" s="17">
        <f t="shared" si="23"/>
        <v>17.397640962946053</v>
      </c>
      <c r="O76">
        <f t="shared" si="24"/>
        <v>-18.532857877721952</v>
      </c>
      <c r="P76" s="17">
        <f t="shared" si="25"/>
        <v>-37.065715756522657</v>
      </c>
      <c r="Q76">
        <f t="shared" si="26"/>
        <v>-10.796959295931348</v>
      </c>
      <c r="R76" s="17">
        <f t="shared" si="27"/>
        <v>-21.593918592491161</v>
      </c>
      <c r="T76">
        <f t="shared" si="28"/>
        <v>-0.46937285866075568</v>
      </c>
    </row>
    <row r="77" spans="1:20" x14ac:dyDescent="0.2">
      <c r="A77" s="11">
        <f t="shared" si="21"/>
        <v>42817.750000000007</v>
      </c>
      <c r="B77" s="17">
        <f>'All Experimental Diel Data'!O56</f>
        <v>243.58</v>
      </c>
      <c r="C77" s="17">
        <f>'All Experimental Diel Data'!P56</f>
        <v>239.88415763908597</v>
      </c>
      <c r="D77" s="17">
        <f>'All Experimental Diel Data'!R56</f>
        <v>183.55454379157757</v>
      </c>
      <c r="E77" s="17">
        <f>'All Experimental Diel Data'!T56</f>
        <v>7.1526399999999999</v>
      </c>
      <c r="F77">
        <f>'All Experimental Diel Data'!V56</f>
        <v>0.17813319281643428</v>
      </c>
      <c r="G77">
        <f>'All Experimental Diel Data'!X56</f>
        <v>0.16427985039749507</v>
      </c>
      <c r="H77" s="17">
        <f>'All Experimental Diel Data'!H56</f>
        <v>1854.9364035453768</v>
      </c>
      <c r="I77" s="17">
        <f>'All Experimental Diel Data'!E56</f>
        <v>2263.2013553890069</v>
      </c>
      <c r="J77" s="13">
        <f>'All Experimental Diel Data'!J56</f>
        <v>7.4435338766004699</v>
      </c>
      <c r="K77" s="13">
        <f>'All Experimental Diel Data'!K56</f>
        <v>9.9047740040776606</v>
      </c>
      <c r="M77">
        <f t="shared" si="22"/>
        <v>5.0342652781718824</v>
      </c>
      <c r="N77" s="17">
        <f t="shared" si="23"/>
        <v>10.068530556636798</v>
      </c>
      <c r="O77">
        <f t="shared" si="24"/>
        <v>-14.408366361332789</v>
      </c>
      <c r="P77" s="17">
        <f t="shared" si="25"/>
        <v>-28.816732723504256</v>
      </c>
      <c r="Q77">
        <f t="shared" si="26"/>
        <v>-8.0592697972877563</v>
      </c>
      <c r="R77" s="17">
        <f t="shared" si="27"/>
        <v>-16.118539595044624</v>
      </c>
      <c r="T77">
        <f t="shared" si="28"/>
        <v>-0.34939875568976075</v>
      </c>
    </row>
    <row r="78" spans="1:20" x14ac:dyDescent="0.2">
      <c r="A78" s="11">
        <f t="shared" si="21"/>
        <v>42817.833333333343</v>
      </c>
      <c r="B78" s="17">
        <f>'All Experimental Diel Data'!O57</f>
        <v>195.94</v>
      </c>
      <c r="C78" s="17">
        <f>'All Experimental Diel Data'!P57</f>
        <v>193.05723017317678</v>
      </c>
      <c r="D78" s="17">
        <f>'All Experimental Diel Data'!R57</f>
        <v>187.36941512849367</v>
      </c>
      <c r="E78" s="17">
        <f>'All Experimental Diel Data'!T57</f>
        <v>7.1526399999999999</v>
      </c>
      <c r="F78">
        <f>'All Experimental Diel Data'!V57</f>
        <v>0.17254335450200231</v>
      </c>
      <c r="G78">
        <f>'All Experimental Diel Data'!X57</f>
        <v>0.15916312365023091</v>
      </c>
      <c r="H78" s="17">
        <f>'All Experimental Diel Data'!H57</f>
        <v>1950.9529733972374</v>
      </c>
      <c r="I78" s="17">
        <f>'All Experimental Diel Data'!E57</f>
        <v>2302.5183280172341</v>
      </c>
      <c r="J78" s="13">
        <f>'All Experimental Diel Data'!J57</f>
        <v>9.7171961058394825</v>
      </c>
      <c r="K78" s="13">
        <f>'All Experimental Diel Data'!K57</f>
        <v>10.209257077732754</v>
      </c>
      <c r="M78">
        <f t="shared" si="22"/>
        <v>-0.46038852510694667</v>
      </c>
      <c r="N78" s="17">
        <f t="shared" si="23"/>
        <v>-0.92077705024069145</v>
      </c>
      <c r="O78">
        <f t="shared" si="24"/>
        <v>-3.1649907241383755</v>
      </c>
      <c r="P78" s="17">
        <f t="shared" si="25"/>
        <v>-6.3299814484609778</v>
      </c>
      <c r="Q78">
        <f t="shared" si="26"/>
        <v>-3.4535672894097167</v>
      </c>
      <c r="R78" s="17">
        <f t="shared" si="27"/>
        <v>-6.9071345790204575</v>
      </c>
      <c r="T78">
        <f t="shared" si="28"/>
        <v>0.14546283551345351</v>
      </c>
    </row>
    <row r="79" spans="1:20" x14ac:dyDescent="0.2">
      <c r="A79" s="11">
        <f t="shared" si="21"/>
        <v>42817.916666666679</v>
      </c>
      <c r="B79" s="17">
        <f>'All Experimental Diel Data'!O58</f>
        <v>159.34</v>
      </c>
      <c r="C79" s="17">
        <f>'All Experimental Diel Data'!P58</f>
        <v>157.03591930822896</v>
      </c>
      <c r="D79" s="17">
        <f>'All Experimental Diel Data'!R58</f>
        <v>188.39594964420294</v>
      </c>
      <c r="E79" s="17">
        <f>'All Experimental Diel Data'!T58</f>
        <v>6.7055999999999996</v>
      </c>
      <c r="F79">
        <f>'All Experimental Diel Data'!V58</f>
        <v>0.15039255298590362</v>
      </c>
      <c r="G79">
        <f>'All Experimental Diel Data'!X58</f>
        <v>0.13873721649193985</v>
      </c>
      <c r="H79" s="17">
        <f>'All Experimental Diel Data'!H58</f>
        <v>2015.7197224897964</v>
      </c>
      <c r="I79" s="17">
        <f>'All Experimental Diel Data'!E58</f>
        <v>2327.8352645088721</v>
      </c>
      <c r="J79" s="13">
        <f>'All Experimental Diel Data'!J58</f>
        <v>11.844834026201838</v>
      </c>
      <c r="K79" s="13">
        <f>'All Experimental Diel Data'!K58</f>
        <v>10.291814136958099</v>
      </c>
      <c r="M79">
        <f t="shared" si="22"/>
        <v>-4.6858763937681722</v>
      </c>
      <c r="N79" s="17">
        <f t="shared" si="23"/>
        <v>-9.3717527878090987</v>
      </c>
      <c r="O79">
        <f t="shared" si="24"/>
        <v>4.4192993937616976</v>
      </c>
      <c r="P79" s="17">
        <f t="shared" si="25"/>
        <v>8.8385987877806329</v>
      </c>
      <c r="Q79">
        <f t="shared" si="26"/>
        <v>-0.48786901467498084</v>
      </c>
      <c r="R79" s="17">
        <f t="shared" si="27"/>
        <v>-0.97573802937835941</v>
      </c>
      <c r="T79">
        <f t="shared" si="28"/>
        <v>-1.0603210998518851</v>
      </c>
    </row>
    <row r="80" spans="1:20" x14ac:dyDescent="0.2">
      <c r="A80" s="11">
        <f t="shared" si="21"/>
        <v>42818.000000000015</v>
      </c>
      <c r="B80" s="17">
        <f>'All Experimental Diel Data'!O59</f>
        <v>155.36000000000001</v>
      </c>
      <c r="C80" s="17">
        <f>'All Experimental Diel Data'!P59</f>
        <v>153.21755119097367</v>
      </c>
      <c r="D80" s="17">
        <f>'All Experimental Diel Data'!R59</f>
        <v>188.75270514489856</v>
      </c>
      <c r="E80" s="17">
        <f>'All Experimental Diel Data'!T59</f>
        <v>6.7055999999999996</v>
      </c>
      <c r="F80">
        <f>'All Experimental Diel Data'!V59</f>
        <v>0.14999201687420596</v>
      </c>
      <c r="G80">
        <f>'All Experimental Diel Data'!X59</f>
        <v>0.13836982561695332</v>
      </c>
      <c r="H80" s="17">
        <f>'All Experimental Diel Data'!H59</f>
        <v>2021.0051817801918</v>
      </c>
      <c r="I80" s="17">
        <f>'All Experimental Diel Data'!E59</f>
        <v>2300.2948600083573</v>
      </c>
      <c r="J80" s="13">
        <f>'All Experimental Diel Data'!J59</f>
        <v>13.487056244496218</v>
      </c>
      <c r="K80" s="13">
        <f>'All Experimental Diel Data'!K59</f>
        <v>10.31964726780528</v>
      </c>
      <c r="M80">
        <f t="shared" si="22"/>
        <v>-5.1338097853937974</v>
      </c>
      <c r="N80" s="17">
        <f t="shared" si="23"/>
        <v>-10.267619571086422</v>
      </c>
      <c r="O80">
        <f t="shared" si="24"/>
        <v>5.0419021701921123</v>
      </c>
      <c r="P80" s="17">
        <f t="shared" si="25"/>
        <v>10.083804340677702</v>
      </c>
      <c r="Q80">
        <f t="shared" si="26"/>
        <v>-3.7140306847352855</v>
      </c>
      <c r="R80" s="17">
        <f t="shared" si="27"/>
        <v>-7.4280613696867563</v>
      </c>
      <c r="T80">
        <f t="shared" si="28"/>
        <v>-1.0182287581351828</v>
      </c>
    </row>
    <row r="81" spans="1:20" x14ac:dyDescent="0.2">
      <c r="A81" s="11">
        <f t="shared" si="21"/>
        <v>42818.08333333335</v>
      </c>
      <c r="B81" s="17">
        <f>'All Experimental Diel Data'!O60</f>
        <v>150.41999999999999</v>
      </c>
      <c r="C81" s="17">
        <f>'All Experimental Diel Data'!P60</f>
        <v>148.36055433892241</v>
      </c>
      <c r="D81" s="17">
        <f>'All Experimental Diel Data'!R60</f>
        <v>189.07128892824295</v>
      </c>
      <c r="E81" s="17">
        <f>'All Experimental Diel Data'!T60</f>
        <v>6.2585600000000001</v>
      </c>
      <c r="F81">
        <f>'All Experimental Diel Data'!V60</f>
        <v>0.13032727101673688</v>
      </c>
      <c r="G81">
        <f>'All Experimental Diel Data'!X60</f>
        <v>0.12023047921379426</v>
      </c>
      <c r="H81" s="17">
        <f>'All Experimental Diel Data'!H60</f>
        <v>2036.4414316521506</v>
      </c>
      <c r="I81" s="17">
        <f>'All Experimental Diel Data'!E60</f>
        <v>2317.4703689463213</v>
      </c>
      <c r="J81" s="13">
        <f>'All Experimental Diel Data'!J60</f>
        <v>13.550043301301324</v>
      </c>
      <c r="K81" s="13">
        <f>'All Experimental Diel Data'!K60</f>
        <v>10.345337938606932</v>
      </c>
      <c r="M81">
        <f t="shared" si="22"/>
        <v>-5.7028009515906719</v>
      </c>
      <c r="N81" s="17">
        <f t="shared" si="23"/>
        <v>-22.81120380603074</v>
      </c>
      <c r="O81">
        <f t="shared" si="24"/>
        <v>6.8480836250082877</v>
      </c>
      <c r="P81" s="17">
        <f t="shared" si="25"/>
        <v>27.39233449963454</v>
      </c>
      <c r="Q81">
        <f t="shared" si="26"/>
        <v>-1.7020424948595063</v>
      </c>
      <c r="R81" s="17">
        <f t="shared" si="27"/>
        <v>-6.8081699793389534</v>
      </c>
      <c r="T81">
        <f t="shared" si="28"/>
        <v>-0.83275866123550302</v>
      </c>
    </row>
    <row r="82" spans="1:20" x14ac:dyDescent="0.2">
      <c r="A82" s="11">
        <f>A81+(1/24*4)</f>
        <v>42818.250000000015</v>
      </c>
      <c r="B82" s="17">
        <f>'All Experimental Diel Data'!O61</f>
        <v>149.16999999999999</v>
      </c>
      <c r="C82" s="17">
        <f>'All Experimental Diel Data'!P61</f>
        <v>146.97165282010604</v>
      </c>
      <c r="D82" s="17">
        <f>'All Experimental Diel Data'!R61</f>
        <v>189.4040841281298</v>
      </c>
      <c r="E82" s="17">
        <f>'All Experimental Diel Data'!T61</f>
        <v>7.1526399999999999</v>
      </c>
      <c r="F82">
        <f>'All Experimental Diel Data'!V61</f>
        <v>0.16970427877558283</v>
      </c>
      <c r="G82">
        <f>'All Experimental Diel Data'!X61</f>
        <v>0.15655931908938278</v>
      </c>
      <c r="H82" s="17">
        <f>'All Experimental Diel Data'!H61</f>
        <v>2041.8931240345678</v>
      </c>
      <c r="I82" s="17">
        <f>'All Experimental Diel Data'!E61</f>
        <v>2304.3622093265976</v>
      </c>
      <c r="J82" s="13">
        <f>'All Experimental Diel Data'!J61</f>
        <v>14.677173838767649</v>
      </c>
      <c r="K82" s="13">
        <f>'All Experimental Diel Data'!K61</f>
        <v>10.374073845011763</v>
      </c>
      <c r="M82">
        <f t="shared" si="22"/>
        <v>-5.8672914230167379</v>
      </c>
      <c r="N82" s="17">
        <f t="shared" si="23"/>
        <v>-11.734582846374996</v>
      </c>
      <c r="O82">
        <f t="shared" si="24"/>
        <v>7.4885343613618209</v>
      </c>
      <c r="P82" s="17">
        <f t="shared" si="25"/>
        <v>14.977068723159531</v>
      </c>
      <c r="Q82">
        <f t="shared" si="26"/>
        <v>-3.2375697645985642</v>
      </c>
      <c r="R82" s="17">
        <f t="shared" si="27"/>
        <v>-6.4751395293855794</v>
      </c>
      <c r="T82">
        <f t="shared" si="28"/>
        <v>-0.78350330517142031</v>
      </c>
    </row>
    <row r="83" spans="1:20" x14ac:dyDescent="0.2">
      <c r="A83" s="11">
        <f t="shared" si="21"/>
        <v>42818.33333333335</v>
      </c>
      <c r="B83" s="17">
        <f>'All Experimental Diel Data'!O62</f>
        <v>163.96</v>
      </c>
      <c r="C83" s="17">
        <f>'All Experimental Diel Data'!P62</f>
        <v>161.56617350276275</v>
      </c>
      <c r="D83" s="17">
        <f>'All Experimental Diel Data'!R62</f>
        <v>188.61170687119221</v>
      </c>
      <c r="E83" s="17">
        <f>'All Experimental Diel Data'!T62</f>
        <v>7.5996800000000002</v>
      </c>
      <c r="F83">
        <f>'All Experimental Diel Data'!V62</f>
        <v>0.19282243878095404</v>
      </c>
      <c r="G83">
        <f>'All Experimental Diel Data'!X62</f>
        <v>0.17788065482114768</v>
      </c>
      <c r="H83" s="17">
        <f>'All Experimental Diel Data'!H62</f>
        <v>2010.6445183649041</v>
      </c>
      <c r="I83" s="17">
        <f>'All Experimental Diel Data'!E62</f>
        <v>2312.9011677267604</v>
      </c>
      <c r="J83" s="13">
        <f>'All Experimental Diel Data'!J62</f>
        <v>12.230845883907417</v>
      </c>
      <c r="K83" s="13">
        <f>'All Experimental Diel Data'!K62</f>
        <v>10.309519750247411</v>
      </c>
      <c r="M83">
        <f t="shared" si="22"/>
        <v>-4.1555730776296649</v>
      </c>
      <c r="N83" s="17">
        <f t="shared" si="23"/>
        <v>-8.3111461555012163</v>
      </c>
      <c r="O83">
        <f t="shared" si="24"/>
        <v>3.8266512098486993</v>
      </c>
      <c r="P83" s="17">
        <f t="shared" si="25"/>
        <v>7.6533024199201387</v>
      </c>
      <c r="Q83">
        <f t="shared" si="26"/>
        <v>-2.2372917805794987</v>
      </c>
      <c r="R83" s="17">
        <f t="shared" si="27"/>
        <v>-4.4745835612892249</v>
      </c>
      <c r="T83">
        <f t="shared" si="28"/>
        <v>-1.0859555391237161</v>
      </c>
    </row>
    <row r="84" spans="1:20" x14ac:dyDescent="0.2">
      <c r="A84" s="11">
        <f t="shared" si="21"/>
        <v>42818.416666666686</v>
      </c>
      <c r="B84" s="17">
        <f>'All Experimental Diel Data'!O63</f>
        <v>212.76</v>
      </c>
      <c r="C84" s="17">
        <f>'All Experimental Diel Data'!P63</f>
        <v>209.6221809690536</v>
      </c>
      <c r="D84" s="17">
        <f>'All Experimental Diel Data'!R63</f>
        <v>185.90789690343806</v>
      </c>
      <c r="E84" s="17">
        <f>'All Experimental Diel Data'!T63</f>
        <v>6.7055999999999996</v>
      </c>
      <c r="F84">
        <f>'All Experimental Diel Data'!V63</f>
        <v>0.15349863811394449</v>
      </c>
      <c r="G84">
        <f>'All Experimental Diel Data'!X63</f>
        <v>0.14158321093432047</v>
      </c>
      <c r="H84" s="17">
        <f>'All Experimental Diel Data'!H63</f>
        <v>1952.8528885412984</v>
      </c>
      <c r="I84" s="17">
        <f>'All Experimental Diel Data'!E63</f>
        <v>2265.6358631668886</v>
      </c>
      <c r="J84" s="13">
        <f>'All Experimental Diel Data'!J63</f>
        <v>11.313035231539033</v>
      </c>
      <c r="K84" s="13">
        <f>'All Experimental Diel Data'!K63</f>
        <v>10.091806130211678</v>
      </c>
      <c r="M84">
        <f t="shared" si="22"/>
        <v>1.4827201033449537</v>
      </c>
      <c r="N84" s="17">
        <f t="shared" si="23"/>
        <v>2.9654402067762131</v>
      </c>
      <c r="O84">
        <f t="shared" si="24"/>
        <v>-2.9378574950242853</v>
      </c>
      <c r="P84" s="17">
        <f t="shared" si="25"/>
        <v>-5.875714990219576</v>
      </c>
      <c r="Q84">
        <f t="shared" si="26"/>
        <v>-7.7740846004501911</v>
      </c>
      <c r="R84" s="17">
        <f t="shared" si="27"/>
        <v>-15.548169201352893</v>
      </c>
      <c r="T84">
        <f t="shared" si="28"/>
        <v>-0.50469435833976595</v>
      </c>
    </row>
    <row r="85" spans="1:20" x14ac:dyDescent="0.2">
      <c r="A85" s="11">
        <f t="shared" si="21"/>
        <v>42818.500000000022</v>
      </c>
      <c r="B85" s="17">
        <f>'All Experimental Diel Data'!O64</f>
        <v>254.13</v>
      </c>
      <c r="C85" s="17">
        <f>'All Experimental Diel Data'!P64</f>
        <v>250.38971521453539</v>
      </c>
      <c r="D85" s="17">
        <f>'All Experimental Diel Data'!R64</f>
        <v>183.46282286005075</v>
      </c>
      <c r="E85" s="17">
        <f>'All Experimental Diel Data'!T64</f>
        <v>7.1526399999999999</v>
      </c>
      <c r="F85">
        <f>'All Experimental Diel Data'!V64</f>
        <v>0.17830200359514647</v>
      </c>
      <c r="G85">
        <f>'All Experimental Diel Data'!X64</f>
        <v>0.16443425682855436</v>
      </c>
      <c r="H85" s="17">
        <f>'All Experimental Diel Data'!H64</f>
        <v>1885.0612322148247</v>
      </c>
      <c r="I85" s="17">
        <f>'All Experimental Diel Data'!E64</f>
        <v>2270.9272227293977</v>
      </c>
      <c r="J85" s="13">
        <f>'All Experimental Diel Data'!J64</f>
        <v>8.2717359701487734</v>
      </c>
      <c r="K85" s="13">
        <f>'All Experimental Diel Data'!K64</f>
        <v>9.8968105458640583</v>
      </c>
    </row>
    <row r="87" spans="1:20" x14ac:dyDescent="0.2">
      <c r="M87" s="1" t="s">
        <v>337</v>
      </c>
      <c r="N87" s="48">
        <f>SUM(N74:N84)</f>
        <v>-6.4070498623869305</v>
      </c>
      <c r="P87" s="48">
        <f>SUM(P74:P84)</f>
        <v>-55.614524819902812</v>
      </c>
      <c r="R87" s="48">
        <f>SUM(R74:R84)</f>
        <v>-117.92663052322416</v>
      </c>
      <c r="T87" s="1">
        <f>SLOPE(M74:M84,O74:O84)</f>
        <v>-0.59151892107483073</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CCCD4-84C7-4742-B58B-3CF73E583BF4}">
  <dimension ref="A1:AF178"/>
  <sheetViews>
    <sheetView topLeftCell="A168" workbookViewId="0">
      <selection activeCell="P10" sqref="P10:P22"/>
    </sheetView>
  </sheetViews>
  <sheetFormatPr baseColWidth="10" defaultRowHeight="16" x14ac:dyDescent="0.2"/>
  <cols>
    <col min="1" max="1" width="23.1640625" bestFit="1" customWidth="1"/>
    <col min="2" max="2" width="20" bestFit="1" customWidth="1"/>
    <col min="3" max="3" width="52.83203125" bestFit="1" customWidth="1"/>
    <col min="4" max="4" width="27" bestFit="1" customWidth="1"/>
    <col min="5" max="5" width="23.5" bestFit="1" customWidth="1"/>
    <col min="6" max="6" width="27.33203125" bestFit="1" customWidth="1"/>
    <col min="7" max="7" width="23.83203125" bestFit="1" customWidth="1"/>
    <col min="8" max="8" width="27.6640625" bestFit="1" customWidth="1"/>
    <col min="9" max="9" width="53.33203125" bestFit="1" customWidth="1"/>
    <col min="10" max="12" width="30.33203125" bestFit="1" customWidth="1"/>
    <col min="13" max="13" width="21.6640625" bestFit="1" customWidth="1"/>
    <col min="14" max="14" width="20.83203125" bestFit="1" customWidth="1"/>
    <col min="15" max="15" width="21.6640625" bestFit="1" customWidth="1"/>
    <col min="16" max="16" width="19.6640625" bestFit="1" customWidth="1"/>
    <col min="17" max="17" width="19" bestFit="1" customWidth="1"/>
    <col min="18" max="18" width="19.1640625" bestFit="1" customWidth="1"/>
    <col min="19" max="19" width="20.5" bestFit="1" customWidth="1"/>
    <col min="20" max="22" width="19.83203125" bestFit="1" customWidth="1"/>
    <col min="23" max="23" width="21.83203125" bestFit="1" customWidth="1"/>
    <col min="24" max="24" width="21" bestFit="1" customWidth="1"/>
    <col min="25" max="25" width="21.83203125" bestFit="1" customWidth="1"/>
    <col min="26" max="26" width="21" bestFit="1" customWidth="1"/>
    <col min="27" max="27" width="16.33203125" bestFit="1" customWidth="1"/>
    <col min="28" max="28" width="20.5" bestFit="1" customWidth="1"/>
    <col min="29" max="29" width="37.1640625" bestFit="1" customWidth="1"/>
    <col min="30" max="30" width="15.5" bestFit="1" customWidth="1"/>
    <col min="31" max="32" width="37.1640625" bestFit="1" customWidth="1"/>
  </cols>
  <sheetData>
    <row r="1" spans="1:32" x14ac:dyDescent="0.2">
      <c r="B1" t="s">
        <v>94</v>
      </c>
      <c r="C1" t="s">
        <v>265</v>
      </c>
      <c r="D1" t="s">
        <v>95</v>
      </c>
      <c r="E1" t="s">
        <v>96</v>
      </c>
      <c r="F1" t="s">
        <v>97</v>
      </c>
      <c r="G1" t="s">
        <v>98</v>
      </c>
      <c r="H1" t="s">
        <v>263</v>
      </c>
      <c r="I1" t="s">
        <v>266</v>
      </c>
      <c r="J1" t="s">
        <v>264</v>
      </c>
    </row>
    <row r="2" spans="1:32" x14ac:dyDescent="0.2">
      <c r="A2" s="3">
        <v>41760</v>
      </c>
      <c r="B2">
        <v>350</v>
      </c>
      <c r="C2" s="41">
        <v>1.2999999999999999E-4</v>
      </c>
      <c r="D2">
        <v>0.02</v>
      </c>
      <c r="E2">
        <v>6.0000000000000001E-3</v>
      </c>
      <c r="F2" s="42">
        <f>-0.022</f>
        <v>-2.1999999999999999E-2</v>
      </c>
      <c r="G2" s="42">
        <v>5.0000000000000001E-3</v>
      </c>
      <c r="H2" s="41">
        <v>3.0000000000000001E-3</v>
      </c>
      <c r="I2" s="43">
        <v>5.0000000000000002E-5</v>
      </c>
      <c r="J2" s="41">
        <v>4.0000000000000002E-4</v>
      </c>
    </row>
    <row r="3" spans="1:32" x14ac:dyDescent="0.2">
      <c r="A3" s="3">
        <v>41944</v>
      </c>
      <c r="B3">
        <v>770</v>
      </c>
      <c r="C3" s="41">
        <v>1.2999999999999999E-4</v>
      </c>
      <c r="D3">
        <v>0.03</v>
      </c>
      <c r="E3">
        <v>8.5000000000000006E-3</v>
      </c>
      <c r="F3" s="42">
        <v>-3.7999999999999999E-2</v>
      </c>
      <c r="G3" s="42">
        <v>0.03</v>
      </c>
      <c r="H3" s="41">
        <v>6.4999999999999997E-3</v>
      </c>
      <c r="I3" s="43">
        <v>5.0000000000000002E-5</v>
      </c>
      <c r="J3" s="41">
        <f>-0.0005</f>
        <v>-5.0000000000000001E-4</v>
      </c>
    </row>
    <row r="4" spans="1:32" x14ac:dyDescent="0.2">
      <c r="A4" s="3">
        <v>42278</v>
      </c>
      <c r="B4">
        <v>880</v>
      </c>
      <c r="C4" s="41">
        <v>1.2999999999999999E-4</v>
      </c>
      <c r="D4">
        <v>1.6E-2</v>
      </c>
      <c r="E4">
        <v>4.4999999999999997E-3</v>
      </c>
      <c r="F4" s="42">
        <v>-2.5000000000000001E-2</v>
      </c>
      <c r="G4" s="42">
        <v>1.7000000000000001E-2</v>
      </c>
      <c r="H4" s="42">
        <v>5.0000000000000001E-3</v>
      </c>
      <c r="I4" s="43">
        <v>5.0000000000000002E-5</v>
      </c>
      <c r="J4" s="41">
        <f>0.0005</f>
        <v>5.0000000000000001E-4</v>
      </c>
    </row>
    <row r="5" spans="1:32" x14ac:dyDescent="0.2">
      <c r="A5" s="3">
        <v>42795</v>
      </c>
      <c r="B5">
        <v>530</v>
      </c>
      <c r="C5" s="41">
        <v>1.2999999999999999E-4</v>
      </c>
      <c r="D5" s="42">
        <v>4.2999999999999997E-2</v>
      </c>
      <c r="E5" s="42">
        <v>1.4E-2</v>
      </c>
      <c r="F5" s="42">
        <v>-4.2000000000000003E-2</v>
      </c>
      <c r="G5" s="42">
        <v>1.4999999999999999E-2</v>
      </c>
      <c r="H5" s="42">
        <v>0.01</v>
      </c>
      <c r="I5" s="43">
        <v>5.0000000000000002E-5</v>
      </c>
      <c r="J5" s="41">
        <v>-2.0000000000000001E-4</v>
      </c>
    </row>
    <row r="8" spans="1:32" x14ac:dyDescent="0.2">
      <c r="A8" s="10" t="s">
        <v>70</v>
      </c>
    </row>
    <row r="9" spans="1:32" x14ac:dyDescent="0.2">
      <c r="A9" s="23" t="s">
        <v>99</v>
      </c>
      <c r="B9" s="23" t="s">
        <v>100</v>
      </c>
      <c r="C9" s="23" t="s">
        <v>101</v>
      </c>
      <c r="D9" s="23" t="s">
        <v>102</v>
      </c>
      <c r="E9" s="23" t="s">
        <v>103</v>
      </c>
      <c r="F9" s="23" t="s">
        <v>104</v>
      </c>
      <c r="G9" s="23" t="s">
        <v>105</v>
      </c>
      <c r="H9" s="23" t="s">
        <v>106</v>
      </c>
      <c r="I9" s="23" t="s">
        <v>107</v>
      </c>
      <c r="J9" s="23" t="s">
        <v>108</v>
      </c>
      <c r="K9" s="23" t="s">
        <v>109</v>
      </c>
      <c r="L9" s="23" t="s">
        <v>315</v>
      </c>
      <c r="M9" s="24" t="s">
        <v>110</v>
      </c>
      <c r="N9" s="23" t="s">
        <v>111</v>
      </c>
      <c r="O9" s="23" t="s">
        <v>112</v>
      </c>
      <c r="P9" s="23" t="s">
        <v>315</v>
      </c>
      <c r="Q9" s="23" t="s">
        <v>113</v>
      </c>
      <c r="R9" s="23" t="s">
        <v>114</v>
      </c>
      <c r="S9" s="23" t="s">
        <v>115</v>
      </c>
      <c r="T9" s="23" t="s">
        <v>116</v>
      </c>
      <c r="U9" s="23" t="s">
        <v>117</v>
      </c>
      <c r="V9" s="23" t="s">
        <v>118</v>
      </c>
      <c r="W9" s="23" t="s">
        <v>119</v>
      </c>
      <c r="X9" s="23" t="s">
        <v>125</v>
      </c>
      <c r="Y9" s="23" t="s">
        <v>120</v>
      </c>
      <c r="Z9" s="23" t="s">
        <v>121</v>
      </c>
      <c r="AA9" s="23" t="s">
        <v>122</v>
      </c>
      <c r="AB9" s="23" t="s">
        <v>123</v>
      </c>
      <c r="AC9" s="23"/>
      <c r="AD9" s="23" t="s">
        <v>124</v>
      </c>
      <c r="AE9" s="23" t="s">
        <v>405</v>
      </c>
      <c r="AF9" s="23" t="s">
        <v>406</v>
      </c>
    </row>
    <row r="10" spans="1:32" x14ac:dyDescent="0.2">
      <c r="A10" s="25">
        <v>0.45833333333333331</v>
      </c>
      <c r="B10" s="26">
        <v>0</v>
      </c>
      <c r="C10" s="26">
        <v>4980</v>
      </c>
      <c r="D10" s="27">
        <f>1.1847060948935E-09</f>
        <v>1.1847060948935001E-9</v>
      </c>
      <c r="E10" s="27">
        <f>D10/0.0167</f>
        <v>7.094048472416168E-8</v>
      </c>
      <c r="F10" s="27">
        <f>($A11-$A10)*24*E10</f>
        <v>1.4188096944832333E-7</v>
      </c>
      <c r="G10" s="27">
        <f>0.000000071122605945</f>
        <v>7.1122605945000001E-8</v>
      </c>
      <c r="H10" s="27">
        <f>G10/0.0167</f>
        <v>4.2588386793413179E-6</v>
      </c>
      <c r="I10" s="27">
        <f>($A11-$A10)*24*H10</f>
        <v>8.517677358682634E-6</v>
      </c>
      <c r="J10" s="27">
        <f>-2.7642274054837E-07</f>
        <v>-2.7642274054837E-7</v>
      </c>
      <c r="K10" s="27">
        <f>J10/0.0167</f>
        <v>-1.6552259913076047E-5</v>
      </c>
      <c r="L10" s="28">
        <f>K10*1000*1025</f>
        <v>-16.96606641090295</v>
      </c>
      <c r="M10" s="27">
        <f t="shared" ref="M10:M21" si="0">($A11-$A10)*24*K10</f>
        <v>-3.3104519826152087E-5</v>
      </c>
      <c r="N10" s="27">
        <f>2.27642272577247E-07</f>
        <v>2.27642272577247E-7</v>
      </c>
      <c r="O10" s="27">
        <f>N10/0.0167</f>
        <v>1.3631273807020778E-5</v>
      </c>
      <c r="P10" s="28">
        <f>O10*1000*1025</f>
        <v>13.972055652196296</v>
      </c>
      <c r="Q10" s="27">
        <f t="shared" ref="Q10:Q21" si="1">($A11-$A10)*24*O10</f>
        <v>2.726254761404155E-5</v>
      </c>
      <c r="R10" s="27">
        <f>-2.34683953975087E-08</f>
        <v>-2.34683953975087E-8</v>
      </c>
      <c r="S10" s="27">
        <f>R10/0.0167</f>
        <v>-1.4052931375753714E-6</v>
      </c>
      <c r="T10" s="27">
        <f>($A11-$A10)*24*S10</f>
        <v>-2.8105862751507423E-6</v>
      </c>
      <c r="U10" s="27">
        <f>-0.000000021792203119</f>
        <v>-2.1792203118999999E-8</v>
      </c>
      <c r="V10" s="27">
        <f>U10/0.0167</f>
        <v>-1.3049223424550898E-6</v>
      </c>
      <c r="W10" s="27">
        <f>($A11-$A10)*24*V10</f>
        <v>-2.6098446849101791E-6</v>
      </c>
      <c r="X10" s="28">
        <f t="shared" ref="X10:X22" si="2">N10/J10</f>
        <v>-0.82352946839919228</v>
      </c>
      <c r="Y10" s="27">
        <f>-1.10569105688301E-07</f>
        <v>-1.10569105688301E-7</v>
      </c>
      <c r="Z10" s="27">
        <f>Y10/0.0167</f>
        <v>-6.6209045322335926E-6</v>
      </c>
      <c r="AA10" s="27">
        <f>Z10/2</f>
        <v>-3.3104522661167963E-6</v>
      </c>
      <c r="AB10" s="27">
        <f>($A11-$A10)*24*AA10</f>
        <v>-6.6209045322335909E-6</v>
      </c>
      <c r="AC10" s="27"/>
      <c r="AD10" s="23">
        <f>SLOPE(O10:O21,K10:K21)</f>
        <v>-0.91440011871310878</v>
      </c>
      <c r="AE10" s="51">
        <f>SUM(M10:M21)/0.001*1025</f>
        <v>-110.3274089370048</v>
      </c>
      <c r="AF10" s="51">
        <f>SUM(AB10:AB21)/0.001*1025</f>
        <v>-43.82081594519218</v>
      </c>
    </row>
    <row r="11" spans="1:32" x14ac:dyDescent="0.2">
      <c r="A11" s="25">
        <v>0.54166666666666663</v>
      </c>
      <c r="B11" s="26">
        <v>2</v>
      </c>
      <c r="C11" s="26">
        <v>5100</v>
      </c>
      <c r="D11" s="27">
        <f>1.7304234062165E-09</f>
        <v>1.7304234062165001E-9</v>
      </c>
      <c r="E11" s="27">
        <f t="shared" ref="E11:E22" si="3">D11/0.0167</f>
        <v>1.0361816803691618E-7</v>
      </c>
      <c r="F11" s="27">
        <f t="shared" ref="F11:F21" si="4">($A12-$A11)*24*E11</f>
        <v>2.0723633607383244E-7</v>
      </c>
      <c r="G11" s="27">
        <f>0.00000013350929825</f>
        <v>1.3350929825E-7</v>
      </c>
      <c r="H11" s="27">
        <f t="shared" ref="H11:H22" si="5">G11/0.0167</f>
        <v>7.9945687574850311E-6</v>
      </c>
      <c r="I11" s="27">
        <f t="shared" ref="I11:I21" si="6">($A12-$A11)*24*H11</f>
        <v>1.5989137514970069E-5</v>
      </c>
      <c r="J11" s="27">
        <f>-2.76422744324596E-07</f>
        <v>-2.7642274432459598E-7</v>
      </c>
      <c r="K11" s="27">
        <f t="shared" ref="K11:K22" si="7">J11/0.0167</f>
        <v>-1.6552260139197364E-5</v>
      </c>
      <c r="L11" s="28">
        <f t="shared" ref="L11:L22" si="8">K11*1000*1025</f>
        <v>-16.966066642677298</v>
      </c>
      <c r="M11" s="27">
        <f t="shared" si="0"/>
        <v>-3.3104520278394742E-5</v>
      </c>
      <c r="N11" s="27">
        <f>2.27642273246175E-07</f>
        <v>2.2764227324617499E-7</v>
      </c>
      <c r="O11" s="27">
        <f t="shared" ref="O11:O22" si="9">N11/0.0167</f>
        <v>1.3631273847076346E-5</v>
      </c>
      <c r="P11" s="28">
        <f t="shared" ref="P11:P22" si="10">O11*1000*1025</f>
        <v>13.972055693253255</v>
      </c>
      <c r="Q11" s="27">
        <f t="shared" si="1"/>
        <v>2.7262547694152706E-5</v>
      </c>
      <c r="R11" s="27">
        <f>-3.76382629445004E-08</f>
        <v>-3.76382629445004E-8</v>
      </c>
      <c r="S11" s="27">
        <f t="shared" ref="S11:S22" si="11">R11/0.0167</f>
        <v>-2.2537882002694851E-6</v>
      </c>
      <c r="T11" s="27">
        <f t="shared" ref="T11:T21" si="12">($A12-$A11)*24*S11</f>
        <v>-4.5075764005389719E-6</v>
      </c>
      <c r="U11" s="27">
        <f>-0.000000063854589986</f>
        <v>-6.3854589985999995E-8</v>
      </c>
      <c r="V11" s="27">
        <f t="shared" ref="V11:V22" si="13">U11/0.0167</f>
        <v>-3.8236281428742514E-6</v>
      </c>
      <c r="W11" s="27">
        <f t="shared" ref="W11:W21" si="14">($A12-$A11)*24*V11</f>
        <v>-7.6472562857485062E-6</v>
      </c>
      <c r="X11" s="28">
        <f t="shared" si="2"/>
        <v>-0.82352945956885748</v>
      </c>
      <c r="Y11" s="27">
        <f>-0.0000001105691056889</f>
        <v>-1.105691056889E-7</v>
      </c>
      <c r="Z11" s="27">
        <f t="shared" ref="Z11:Z22" si="15">Y11/0.0167</f>
        <v>-6.620904532269461E-6</v>
      </c>
      <c r="AA11" s="27">
        <f t="shared" ref="AA11:AA22" si="16">Z11/2</f>
        <v>-3.3104522661347305E-6</v>
      </c>
      <c r="AB11" s="27">
        <f t="shared" ref="AB11:AB21" si="17">($A12-$A11)*24*AA11</f>
        <v>-6.6209045322694636E-6</v>
      </c>
      <c r="AC11" s="27"/>
      <c r="AD11" s="23"/>
    </row>
    <row r="12" spans="1:32" x14ac:dyDescent="0.2">
      <c r="A12" s="25">
        <v>0.625</v>
      </c>
      <c r="B12" s="26">
        <v>4</v>
      </c>
      <c r="C12" s="26">
        <v>5220</v>
      </c>
      <c r="D12" s="27">
        <f>2.1028510576234E-09</f>
        <v>2.1028510576233999E-9</v>
      </c>
      <c r="E12" s="27">
        <f t="shared" si="3"/>
        <v>1.2591922500738922E-7</v>
      </c>
      <c r="F12" s="27">
        <f t="shared" si="4"/>
        <v>2.5183845001477855E-7</v>
      </c>
      <c r="G12" s="27">
        <v>1.81235044E-7</v>
      </c>
      <c r="H12" s="27">
        <f t="shared" si="5"/>
        <v>1.0852397844311378E-5</v>
      </c>
      <c r="I12" s="27">
        <f t="shared" si="6"/>
        <v>2.1704795688622765E-5</v>
      </c>
      <c r="J12" s="27">
        <f>-2.7641676703781E-07</f>
        <v>-2.7641676703781002E-7</v>
      </c>
      <c r="K12" s="27">
        <f t="shared" si="7"/>
        <v>-1.6551902217832936E-5</v>
      </c>
      <c r="L12" s="28">
        <f t="shared" si="8"/>
        <v>-16.965699773278761</v>
      </c>
      <c r="M12" s="27">
        <f t="shared" si="0"/>
        <v>-3.3103804435665885E-5</v>
      </c>
      <c r="N12" s="27">
        <f>2.27640582494526E-07</f>
        <v>2.2764058249452601E-7</v>
      </c>
      <c r="O12" s="27">
        <f t="shared" si="9"/>
        <v>1.3631172604462636E-5</v>
      </c>
      <c r="P12" s="28">
        <f t="shared" si="10"/>
        <v>13.971951919574202</v>
      </c>
      <c r="Q12" s="27">
        <f t="shared" si="1"/>
        <v>2.7262345208925286E-5</v>
      </c>
      <c r="R12" s="27">
        <f>-4.73447976758716E-08</f>
        <v>-4.73447976758716E-8</v>
      </c>
      <c r="S12" s="27">
        <f t="shared" si="11"/>
        <v>-2.835017824902491E-6</v>
      </c>
      <c r="T12" s="27">
        <f t="shared" si="12"/>
        <v>-5.6700356498049845E-6</v>
      </c>
      <c r="U12" s="27">
        <v>-9.3215230999999995E-8</v>
      </c>
      <c r="V12" s="27">
        <f t="shared" si="13"/>
        <v>-5.5817503592814374E-6</v>
      </c>
      <c r="W12" s="27">
        <f t="shared" si="14"/>
        <v>-1.116350071856288E-5</v>
      </c>
      <c r="X12" s="28">
        <f t="shared" si="2"/>
        <v>-0.82354115104525438</v>
      </c>
      <c r="Y12" s="27">
        <f>-1.10569098931292E-07</f>
        <v>-1.10569098931292E-7</v>
      </c>
      <c r="Z12" s="27">
        <f t="shared" si="15"/>
        <v>-6.620904127622276E-6</v>
      </c>
      <c r="AA12" s="27">
        <f t="shared" si="16"/>
        <v>-3.310452063811138E-6</v>
      </c>
      <c r="AB12" s="27">
        <f t="shared" si="17"/>
        <v>-6.6209041276222785E-6</v>
      </c>
      <c r="AC12" s="27"/>
      <c r="AD12" s="23"/>
    </row>
    <row r="13" spans="1:32" x14ac:dyDescent="0.2">
      <c r="A13" s="25">
        <v>0.70833333333333337</v>
      </c>
      <c r="B13" s="26">
        <v>6</v>
      </c>
      <c r="C13" s="26">
        <v>5340</v>
      </c>
      <c r="D13" s="27">
        <f>2.3421766873621E-09</f>
        <v>2.3421766873621002E-9</v>
      </c>
      <c r="E13" s="27">
        <f t="shared" si="3"/>
        <v>1.4025010103964672E-7</v>
      </c>
      <c r="F13" s="27">
        <f t="shared" si="4"/>
        <v>2.8050020207929318E-7</v>
      </c>
      <c r="G13" s="27">
        <v>2.1716887800000001E-7</v>
      </c>
      <c r="H13" s="27">
        <f t="shared" si="5"/>
        <v>1.3004124431137726E-5</v>
      </c>
      <c r="I13" s="27">
        <f t="shared" si="6"/>
        <v>2.6008248862275428E-5</v>
      </c>
      <c r="J13" s="27">
        <f>-1.84224127523055E-07</f>
        <v>-1.84224127523055E-7</v>
      </c>
      <c r="K13" s="27">
        <f t="shared" si="7"/>
        <v>-1.1031384881620061E-5</v>
      </c>
      <c r="L13" s="28">
        <f t="shared" si="8"/>
        <v>-11.307169503660562</v>
      </c>
      <c r="M13" s="27">
        <f t="shared" si="0"/>
        <v>-2.2062769763240101E-5</v>
      </c>
      <c r="N13" s="27">
        <f>1.56817639151031E-07</f>
        <v>1.5681763915103101E-7</v>
      </c>
      <c r="O13" s="27">
        <f t="shared" si="9"/>
        <v>9.390277793474911E-6</v>
      </c>
      <c r="P13" s="28">
        <f t="shared" si="10"/>
        <v>9.6250347383117845</v>
      </c>
      <c r="Q13" s="27">
        <f t="shared" si="1"/>
        <v>1.8780555586949805E-5</v>
      </c>
      <c r="R13" s="23">
        <f>-5.33995028386584E-08</f>
        <v>-5.33995028386584E-8</v>
      </c>
      <c r="S13" s="27">
        <f t="shared" si="11"/>
        <v>-3.1975750202789463E-6</v>
      </c>
      <c r="T13" s="27">
        <f t="shared" si="12"/>
        <v>-6.3951500405578866E-6</v>
      </c>
      <c r="U13" s="27">
        <v>-1.13400395E-7</v>
      </c>
      <c r="V13" s="27">
        <f t="shared" si="13"/>
        <v>-6.7904428143712578E-6</v>
      </c>
      <c r="W13" s="27">
        <f t="shared" si="14"/>
        <v>-1.3580885628742504E-5</v>
      </c>
      <c r="X13" s="28">
        <f t="shared" si="2"/>
        <v>-0.85123290450327049</v>
      </c>
      <c r="Y13" s="27">
        <f>-1.03979605030157E-07</f>
        <v>-1.03979605030157E-7</v>
      </c>
      <c r="Z13" s="27">
        <f t="shared" si="15"/>
        <v>-6.2263236545004191E-6</v>
      </c>
      <c r="AA13" s="27">
        <f t="shared" si="16"/>
        <v>-3.1131618272502095E-6</v>
      </c>
      <c r="AB13" s="27">
        <f t="shared" si="17"/>
        <v>-6.2263236545004131E-6</v>
      </c>
      <c r="AC13" s="27"/>
      <c r="AD13" s="23"/>
    </row>
    <row r="14" spans="1:32" x14ac:dyDescent="0.2">
      <c r="A14" s="25">
        <v>0.79166666666666663</v>
      </c>
      <c r="B14" s="26">
        <v>8</v>
      </c>
      <c r="C14" s="26">
        <v>5460</v>
      </c>
      <c r="D14" s="27">
        <f>1.8042859840989E-09</f>
        <v>1.8042859840989E-9</v>
      </c>
      <c r="E14" s="27">
        <f t="shared" si="3"/>
        <v>1.080410768921497E-7</v>
      </c>
      <c r="F14" s="27">
        <f t="shared" si="4"/>
        <v>2.160821537842995E-7</v>
      </c>
      <c r="G14" s="27">
        <v>2.2063797400000001E-7</v>
      </c>
      <c r="H14" s="27">
        <f t="shared" si="5"/>
        <v>1.3211854730538923E-5</v>
      </c>
      <c r="I14" s="27">
        <f t="shared" si="6"/>
        <v>2.6423709461077855E-5</v>
      </c>
      <c r="J14" s="27">
        <f t="shared" ref="J14:J19" si="18">8.13008130081301E-08</f>
        <v>8.1300813008130105E-8</v>
      </c>
      <c r="K14" s="27">
        <f t="shared" si="7"/>
        <v>4.8683121561754553E-6</v>
      </c>
      <c r="L14" s="28">
        <f t="shared" si="8"/>
        <v>4.9900199600798416</v>
      </c>
      <c r="M14" s="27">
        <f t="shared" si="0"/>
        <v>9.7366243123509158E-6</v>
      </c>
      <c r="N14" s="27">
        <f t="shared" ref="N14:N19" si="19">-9.75609756097561E-08</f>
        <v>-9.7560975609756094E-8</v>
      </c>
      <c r="O14" s="27">
        <f t="shared" si="9"/>
        <v>-5.8419745874105446E-6</v>
      </c>
      <c r="P14" s="28">
        <f t="shared" si="10"/>
        <v>-5.9880239520958085</v>
      </c>
      <c r="Q14" s="27">
        <f t="shared" si="1"/>
        <v>-1.1683949174821094E-5</v>
      </c>
      <c r="R14" s="27">
        <f>-3.32479384956211E-08</f>
        <v>-3.3247938495621101E-8</v>
      </c>
      <c r="S14" s="27">
        <f t="shared" si="11"/>
        <v>-1.9908945206958743E-6</v>
      </c>
      <c r="T14" s="27">
        <f t="shared" si="12"/>
        <v>-3.9817890413917503E-6</v>
      </c>
      <c r="U14" s="27">
        <v>-1.09784855E-7</v>
      </c>
      <c r="V14" s="27">
        <f t="shared" si="13"/>
        <v>-6.5739434131736533E-6</v>
      </c>
      <c r="W14" s="27">
        <f t="shared" si="14"/>
        <v>-1.3147886826347312E-5</v>
      </c>
      <c r="X14" s="28">
        <f t="shared" si="2"/>
        <v>-1.1999999999999995</v>
      </c>
      <c r="Y14" s="27">
        <f t="shared" ref="Y14:Y19" si="20">-1.30081300813008E-08</f>
        <v>-1.30081300813008E-8</v>
      </c>
      <c r="Z14" s="27">
        <f t="shared" si="15"/>
        <v>-7.7892994498807183E-7</v>
      </c>
      <c r="AA14" s="27">
        <f t="shared" si="16"/>
        <v>-3.8946497249403592E-7</v>
      </c>
      <c r="AB14" s="27">
        <f t="shared" si="17"/>
        <v>-7.7892994498807215E-7</v>
      </c>
      <c r="AC14" s="27"/>
      <c r="AD14" s="23"/>
    </row>
    <row r="15" spans="1:32" x14ac:dyDescent="0.2">
      <c r="A15" s="25">
        <v>0.875</v>
      </c>
      <c r="B15" s="26">
        <v>10</v>
      </c>
      <c r="C15" s="26">
        <v>5580</v>
      </c>
      <c r="D15" s="27">
        <f>1.1714538954442E-09</f>
        <v>1.1714538954441999E-9</v>
      </c>
      <c r="E15" s="27">
        <f t="shared" si="3"/>
        <v>7.0146939846958081E-8</v>
      </c>
      <c r="F15" s="27">
        <f t="shared" si="4"/>
        <v>1.4029387969391621E-7</v>
      </c>
      <c r="G15" s="27">
        <f>0.000000160549075194</f>
        <v>1.60549075194E-7</v>
      </c>
      <c r="H15" s="27">
        <f t="shared" si="5"/>
        <v>9.6137170774850297E-6</v>
      </c>
      <c r="I15" s="27">
        <f t="shared" si="6"/>
        <v>1.9227434154970069E-5</v>
      </c>
      <c r="J15" s="27">
        <f t="shared" si="18"/>
        <v>8.1300813008130105E-8</v>
      </c>
      <c r="K15" s="27">
        <f t="shared" si="7"/>
        <v>4.8683121561754553E-6</v>
      </c>
      <c r="L15" s="28">
        <f t="shared" si="8"/>
        <v>4.9900199600798416</v>
      </c>
      <c r="M15" s="27">
        <f t="shared" si="0"/>
        <v>9.7366243123509158E-6</v>
      </c>
      <c r="N15" s="27">
        <f t="shared" si="19"/>
        <v>-9.7560975609756094E-8</v>
      </c>
      <c r="O15" s="27">
        <f t="shared" si="9"/>
        <v>-5.8419745874105446E-6</v>
      </c>
      <c r="P15" s="28">
        <f t="shared" si="10"/>
        <v>-5.9880239520958085</v>
      </c>
      <c r="Q15" s="27">
        <f t="shared" si="1"/>
        <v>-1.1683949174821094E-5</v>
      </c>
      <c r="R15" s="27">
        <f>-1.40049077584641E-08</f>
        <v>-1.4004907758464101E-8</v>
      </c>
      <c r="S15" s="27">
        <f t="shared" si="11"/>
        <v>-8.3861723104575454E-7</v>
      </c>
      <c r="T15" s="27">
        <f t="shared" si="12"/>
        <v>-1.6772344620915099E-6</v>
      </c>
      <c r="U15" s="27">
        <f>-0.000000062560048456</f>
        <v>-6.2560048456000003E-8</v>
      </c>
      <c r="V15" s="27">
        <f t="shared" si="13"/>
        <v>-3.7461106859880243E-6</v>
      </c>
      <c r="W15" s="27">
        <f t="shared" si="14"/>
        <v>-7.4922213719760519E-6</v>
      </c>
      <c r="X15" s="28">
        <f t="shared" si="2"/>
        <v>-1.1999999999999995</v>
      </c>
      <c r="Y15" s="27">
        <f t="shared" si="20"/>
        <v>-1.30081300813008E-8</v>
      </c>
      <c r="Z15" s="27">
        <f t="shared" si="15"/>
        <v>-7.7892994498807183E-7</v>
      </c>
      <c r="AA15" s="27">
        <f t="shared" si="16"/>
        <v>-3.8946497249403592E-7</v>
      </c>
      <c r="AB15" s="27">
        <f t="shared" si="17"/>
        <v>-7.7892994498807215E-7</v>
      </c>
      <c r="AC15" s="27"/>
      <c r="AD15" s="23"/>
    </row>
    <row r="16" spans="1:32" x14ac:dyDescent="0.2">
      <c r="A16" s="25">
        <v>0.95833333333333337</v>
      </c>
      <c r="B16" s="26">
        <v>12</v>
      </c>
      <c r="C16" s="26">
        <v>5700</v>
      </c>
      <c r="D16" s="27">
        <f>6.26252104138556E-10</f>
        <v>6.2625210413855597E-10</v>
      </c>
      <c r="E16" s="27">
        <f t="shared" si="3"/>
        <v>3.7500125996320719E-8</v>
      </c>
      <c r="F16" s="27">
        <f t="shared" si="4"/>
        <v>7.5000251992641478E-8</v>
      </c>
      <c r="G16" s="27">
        <f>0.00000010395132312</f>
        <v>1.0395132312E-7</v>
      </c>
      <c r="H16" s="27">
        <f t="shared" si="5"/>
        <v>6.2246301269461077E-6</v>
      </c>
      <c r="I16" s="27">
        <f t="shared" si="6"/>
        <v>1.2449260253892221E-5</v>
      </c>
      <c r="J16" s="27">
        <f t="shared" si="18"/>
        <v>8.1300813008130105E-8</v>
      </c>
      <c r="K16" s="27">
        <f t="shared" si="7"/>
        <v>4.8683121561754553E-6</v>
      </c>
      <c r="L16" s="28">
        <f t="shared" si="8"/>
        <v>4.9900199600798416</v>
      </c>
      <c r="M16" s="27">
        <f t="shared" si="0"/>
        <v>9.7366243123509158E-6</v>
      </c>
      <c r="N16" s="27">
        <f t="shared" si="19"/>
        <v>-9.7560975609756094E-8</v>
      </c>
      <c r="O16" s="27">
        <f t="shared" si="9"/>
        <v>-5.8419745874105446E-6</v>
      </c>
      <c r="P16" s="28">
        <f t="shared" si="10"/>
        <v>-5.9880239520958085</v>
      </c>
      <c r="Q16" s="27">
        <f t="shared" si="1"/>
        <v>-1.1683949174821094E-5</v>
      </c>
      <c r="R16" s="27">
        <f>-4.64270217233737E-10</f>
        <v>-4.64270217233737E-10</v>
      </c>
      <c r="S16" s="27">
        <f t="shared" si="11"/>
        <v>-2.7800611810403415E-8</v>
      </c>
      <c r="T16" s="27">
        <f t="shared" si="12"/>
        <v>-5.5601223620806856E-8</v>
      </c>
      <c r="U16" s="27">
        <f>-0.000000022583669002</f>
        <v>-2.2583669002E-8</v>
      </c>
      <c r="V16" s="27">
        <f t="shared" si="13"/>
        <v>-1.3523155091017964E-6</v>
      </c>
      <c r="W16" s="27">
        <f t="shared" si="14"/>
        <v>-2.7046310182035941E-6</v>
      </c>
      <c r="X16" s="28">
        <f t="shared" si="2"/>
        <v>-1.1999999999999995</v>
      </c>
      <c r="Y16" s="27">
        <f t="shared" si="20"/>
        <v>-1.30081300813008E-8</v>
      </c>
      <c r="Z16" s="27">
        <f t="shared" si="15"/>
        <v>-7.7892994498807183E-7</v>
      </c>
      <c r="AA16" s="27">
        <f t="shared" si="16"/>
        <v>-3.8946497249403592E-7</v>
      </c>
      <c r="AB16" s="27">
        <f t="shared" si="17"/>
        <v>-7.7892994498807215E-7</v>
      </c>
      <c r="AC16" s="27"/>
      <c r="AD16" s="23"/>
    </row>
    <row r="17" spans="1:32" x14ac:dyDescent="0.2">
      <c r="A17" s="25">
        <v>1.0416666666666667</v>
      </c>
      <c r="B17" s="26">
        <v>14</v>
      </c>
      <c r="C17" s="26">
        <v>5820</v>
      </c>
      <c r="D17" s="27">
        <f>1.7660439504646E-10</f>
        <v>1.7660439504646E-10</v>
      </c>
      <c r="E17" s="27">
        <f t="shared" si="3"/>
        <v>1.0575113475835929E-8</v>
      </c>
      <c r="F17" s="27">
        <f t="shared" si="4"/>
        <v>2.1150226951671837E-8</v>
      </c>
      <c r="G17" s="27">
        <f>0.000000060342163298</f>
        <v>6.0342163298000002E-8</v>
      </c>
      <c r="H17" s="27">
        <f t="shared" si="5"/>
        <v>3.6133031914970063E-6</v>
      </c>
      <c r="I17" s="27">
        <f t="shared" si="6"/>
        <v>7.2266063829940059E-6</v>
      </c>
      <c r="J17" s="27">
        <f t="shared" si="18"/>
        <v>8.1300813008130105E-8</v>
      </c>
      <c r="K17" s="27">
        <f t="shared" si="7"/>
        <v>4.8683121561754553E-6</v>
      </c>
      <c r="L17" s="28">
        <f t="shared" si="8"/>
        <v>4.9900199600798416</v>
      </c>
      <c r="M17" s="27">
        <f t="shared" si="0"/>
        <v>9.7366243123509022E-6</v>
      </c>
      <c r="N17" s="27">
        <f t="shared" si="19"/>
        <v>-9.7560975609756094E-8</v>
      </c>
      <c r="O17" s="27">
        <f t="shared" si="9"/>
        <v>-5.8419745874105446E-6</v>
      </c>
      <c r="P17" s="28">
        <f t="shared" si="10"/>
        <v>-5.9880239520958085</v>
      </c>
      <c r="Q17" s="27">
        <f t="shared" si="1"/>
        <v>-1.1683949174821079E-5</v>
      </c>
      <c r="R17" s="27">
        <f>8.8865843552347E-09</f>
        <v>8.8865843552346995E-9</v>
      </c>
      <c r="S17" s="27">
        <f t="shared" si="11"/>
        <v>5.3213079971465268E-7</v>
      </c>
      <c r="T17" s="27">
        <f t="shared" si="12"/>
        <v>1.0642615994293045E-6</v>
      </c>
      <c r="U17" s="27">
        <f>0.000000005525920063</f>
        <v>5.5259200629999998E-9</v>
      </c>
      <c r="V17" s="27">
        <f t="shared" si="13"/>
        <v>3.3089341694610777E-7</v>
      </c>
      <c r="W17" s="27">
        <f t="shared" si="14"/>
        <v>6.617868338922149E-7</v>
      </c>
      <c r="X17" s="28">
        <f t="shared" si="2"/>
        <v>-1.1999999999999995</v>
      </c>
      <c r="Y17" s="27">
        <f t="shared" si="20"/>
        <v>-1.30081300813008E-8</v>
      </c>
      <c r="Z17" s="27">
        <f t="shared" si="15"/>
        <v>-7.7892994498807183E-7</v>
      </c>
      <c r="AA17" s="27">
        <f t="shared" si="16"/>
        <v>-3.8946497249403592E-7</v>
      </c>
      <c r="AB17" s="27">
        <f t="shared" si="17"/>
        <v>-7.7892994498807109E-7</v>
      </c>
      <c r="AC17" s="27"/>
      <c r="AD17" s="23"/>
    </row>
    <row r="18" spans="1:32" x14ac:dyDescent="0.2">
      <c r="A18" s="25">
        <v>1.125</v>
      </c>
      <c r="B18" s="26">
        <v>16</v>
      </c>
      <c r="C18" s="26">
        <v>5940</v>
      </c>
      <c r="D18" s="27">
        <f>-1.860202210031E-10</f>
        <v>-1.860202210031E-10</v>
      </c>
      <c r="E18" s="27">
        <f t="shared" si="3"/>
        <v>-1.1138935389407185E-8</v>
      </c>
      <c r="F18" s="27">
        <f t="shared" si="4"/>
        <v>-2.2277870778814351E-8</v>
      </c>
      <c r="G18" s="27">
        <f>0.000000027394392413</f>
        <v>2.7394392413E-8</v>
      </c>
      <c r="H18" s="27">
        <f t="shared" si="5"/>
        <v>1.640382779221557E-6</v>
      </c>
      <c r="I18" s="27">
        <f t="shared" si="6"/>
        <v>3.2807655584431111E-6</v>
      </c>
      <c r="J18" s="27">
        <f t="shared" si="18"/>
        <v>8.1300813008130105E-8</v>
      </c>
      <c r="K18" s="27">
        <f t="shared" si="7"/>
        <v>4.8683121561754553E-6</v>
      </c>
      <c r="L18" s="28">
        <f t="shared" si="8"/>
        <v>4.9900199600798416</v>
      </c>
      <c r="M18" s="27">
        <f t="shared" si="0"/>
        <v>9.7366243123509022E-6</v>
      </c>
      <c r="N18" s="27">
        <f t="shared" si="19"/>
        <v>-9.7560975609756094E-8</v>
      </c>
      <c r="O18" s="27">
        <f t="shared" si="9"/>
        <v>-5.8419745874105446E-6</v>
      </c>
      <c r="P18" s="28">
        <f t="shared" si="10"/>
        <v>-5.9880239520958085</v>
      </c>
      <c r="Q18" s="27">
        <f t="shared" si="1"/>
        <v>-1.1683949174821079E-5</v>
      </c>
      <c r="R18" s="27">
        <f>1.5331031231673E-08</f>
        <v>1.5331031231673001E-8</v>
      </c>
      <c r="S18" s="27">
        <f t="shared" si="11"/>
        <v>9.1802582225586833E-7</v>
      </c>
      <c r="T18" s="27">
        <f t="shared" si="12"/>
        <v>1.836051644511735E-6</v>
      </c>
      <c r="U18" s="27">
        <f>0.000000024935969042</f>
        <v>2.4935969041999999E-8</v>
      </c>
      <c r="V18" s="27">
        <f t="shared" si="13"/>
        <v>1.4931717989221556E-6</v>
      </c>
      <c r="W18" s="27">
        <f t="shared" si="14"/>
        <v>2.9863435978443086E-6</v>
      </c>
      <c r="X18" s="28">
        <f t="shared" si="2"/>
        <v>-1.1999999999999995</v>
      </c>
      <c r="Y18" s="27">
        <f t="shared" si="20"/>
        <v>-1.30081300813008E-8</v>
      </c>
      <c r="Z18" s="27">
        <f t="shared" si="15"/>
        <v>-7.7892994498807183E-7</v>
      </c>
      <c r="AA18" s="27">
        <f t="shared" si="16"/>
        <v>-3.8946497249403592E-7</v>
      </c>
      <c r="AB18" s="27">
        <f t="shared" si="17"/>
        <v>-7.7892994498807109E-7</v>
      </c>
      <c r="AC18" s="27"/>
      <c r="AD18" s="23"/>
    </row>
    <row r="19" spans="1:32" x14ac:dyDescent="0.2">
      <c r="A19" s="25">
        <v>1.2083333333333333</v>
      </c>
      <c r="B19" s="26">
        <v>18</v>
      </c>
      <c r="C19" s="26">
        <v>6060</v>
      </c>
      <c r="D19" s="27">
        <f>-4.737448927053E-10</f>
        <v>-4.7374489270530001E-10</v>
      </c>
      <c r="E19" s="27">
        <f t="shared" si="3"/>
        <v>-2.8367957647023953E-8</v>
      </c>
      <c r="F19" s="27">
        <f t="shared" si="4"/>
        <v>-5.6735915294048006E-8</v>
      </c>
      <c r="G19" s="27">
        <f>0.000000002556760952</f>
        <v>2.5567609519999999E-9</v>
      </c>
      <c r="H19" s="27">
        <f t="shared" si="5"/>
        <v>1.5309945820359282E-7</v>
      </c>
      <c r="I19" s="27">
        <f t="shared" si="6"/>
        <v>3.0619891640718617E-7</v>
      </c>
      <c r="J19" s="27">
        <f t="shared" si="18"/>
        <v>8.1300813008130105E-8</v>
      </c>
      <c r="K19" s="27">
        <f t="shared" si="7"/>
        <v>4.8683121561754553E-6</v>
      </c>
      <c r="L19" s="28">
        <f t="shared" si="8"/>
        <v>4.9900199600798416</v>
      </c>
      <c r="M19" s="27">
        <f t="shared" si="0"/>
        <v>9.7366243123509276E-6</v>
      </c>
      <c r="N19" s="27">
        <f t="shared" si="19"/>
        <v>-9.7560975609756094E-8</v>
      </c>
      <c r="O19" s="27">
        <f t="shared" si="9"/>
        <v>-5.8419745874105446E-6</v>
      </c>
      <c r="P19" s="28">
        <f t="shared" si="10"/>
        <v>-5.9880239520958085</v>
      </c>
      <c r="Q19" s="27">
        <f t="shared" si="1"/>
        <v>-1.1683949174821109E-5</v>
      </c>
      <c r="R19" s="27">
        <f>1.97714623840017E-08</f>
        <v>1.9771462384001699E-8</v>
      </c>
      <c r="S19" s="27">
        <f t="shared" si="11"/>
        <v>1.1839199032336347E-6</v>
      </c>
      <c r="T19" s="27">
        <f t="shared" si="12"/>
        <v>2.3678398064672736E-6</v>
      </c>
      <c r="U19" s="27">
        <f>0.000000038312904888</f>
        <v>3.8312904888000003E-8</v>
      </c>
      <c r="V19" s="27">
        <f t="shared" si="13"/>
        <v>2.2941859214371258E-6</v>
      </c>
      <c r="W19" s="27">
        <f t="shared" si="14"/>
        <v>4.5883718428742601E-6</v>
      </c>
      <c r="X19" s="28">
        <f t="shared" si="2"/>
        <v>-1.1999999999999995</v>
      </c>
      <c r="Y19" s="27">
        <f t="shared" si="20"/>
        <v>-1.30081300813008E-8</v>
      </c>
      <c r="Z19" s="27">
        <f t="shared" si="15"/>
        <v>-7.7892994498807183E-7</v>
      </c>
      <c r="AA19" s="27">
        <f t="shared" si="16"/>
        <v>-3.8946497249403592E-7</v>
      </c>
      <c r="AB19" s="27">
        <f t="shared" si="17"/>
        <v>-7.7892994498807321E-7</v>
      </c>
      <c r="AC19" s="27"/>
      <c r="AD19" s="23"/>
    </row>
    <row r="20" spans="1:32" x14ac:dyDescent="0.2">
      <c r="A20" s="25">
        <v>1.2916666666666667</v>
      </c>
      <c r="B20" s="26">
        <v>20</v>
      </c>
      <c r="C20" s="26">
        <v>6180</v>
      </c>
      <c r="D20" s="27">
        <f>-6.38001841667E-10</f>
        <v>-6.3800184166700002E-10</v>
      </c>
      <c r="E20" s="27">
        <f t="shared" si="3"/>
        <v>-3.8203703093832335E-8</v>
      </c>
      <c r="F20" s="27">
        <f t="shared" si="4"/>
        <v>-7.6407406187664604E-8</v>
      </c>
      <c r="G20" s="27">
        <f>-0.000000016157929374</f>
        <v>-1.6157929374000002E-8</v>
      </c>
      <c r="H20" s="27">
        <f t="shared" si="5"/>
        <v>-9.6754068107784437E-7</v>
      </c>
      <c r="I20" s="27">
        <f t="shared" si="6"/>
        <v>-1.935081362155687E-6</v>
      </c>
      <c r="J20" s="27">
        <f>-9.66724957921724E-08</f>
        <v>-9.6672495792172399E-8</v>
      </c>
      <c r="K20" s="27">
        <f t="shared" si="7"/>
        <v>-5.7887722031240959E-6</v>
      </c>
      <c r="L20" s="28">
        <f t="shared" si="8"/>
        <v>-5.9334915082021986</v>
      </c>
      <c r="M20" s="27">
        <f t="shared" si="0"/>
        <v>-1.1577544406248182E-5</v>
      </c>
      <c r="N20" s="27">
        <f>7.72280897800953E-08</f>
        <v>7.7228089780095295E-8</v>
      </c>
      <c r="O20" s="27">
        <f t="shared" si="9"/>
        <v>4.6244365137781615E-6</v>
      </c>
      <c r="P20" s="28">
        <f t="shared" si="10"/>
        <v>4.7400474266226151</v>
      </c>
      <c r="Q20" s="27">
        <f t="shared" si="1"/>
        <v>9.2488730275563145E-6</v>
      </c>
      <c r="R20" s="27">
        <f>2.12574533028579E-08</f>
        <v>2.1257453302857899E-8</v>
      </c>
      <c r="S20" s="27">
        <f t="shared" si="11"/>
        <v>1.2729013953807125E-6</v>
      </c>
      <c r="T20" s="27">
        <f t="shared" si="12"/>
        <v>2.5458027907614229E-6</v>
      </c>
      <c r="U20" s="27">
        <f>0.000000047527786591</f>
        <v>4.7527786590999999E-8</v>
      </c>
      <c r="V20" s="27">
        <f t="shared" si="13"/>
        <v>2.8459752449700597E-6</v>
      </c>
      <c r="W20" s="27">
        <f t="shared" si="14"/>
        <v>5.6919504899401144E-6</v>
      </c>
      <c r="X20" s="28">
        <f t="shared" si="2"/>
        <v>-0.79886310110500403</v>
      </c>
      <c r="Y20" s="27">
        <f>-8.96538762835469E-08</f>
        <v>-8.9653876283546903E-8</v>
      </c>
      <c r="Z20" s="27">
        <f t="shared" si="15"/>
        <v>-5.3684955858411324E-6</v>
      </c>
      <c r="AA20" s="27">
        <f t="shared" si="16"/>
        <v>-2.6842477929205662E-6</v>
      </c>
      <c r="AB20" s="27">
        <f t="shared" si="17"/>
        <v>-5.3684955858411273E-6</v>
      </c>
      <c r="AC20" s="27"/>
      <c r="AD20" s="23"/>
    </row>
    <row r="21" spans="1:32" x14ac:dyDescent="0.2">
      <c r="A21" s="25">
        <v>1.375</v>
      </c>
      <c r="B21" s="26">
        <v>22</v>
      </c>
      <c r="C21" s="26">
        <v>6300</v>
      </c>
      <c r="D21" s="23">
        <f>3.7650191326731E-10</f>
        <v>3.7650191326730999E-10</v>
      </c>
      <c r="E21" s="27">
        <f t="shared" si="3"/>
        <v>2.254502474654551E-8</v>
      </c>
      <c r="F21" s="27">
        <f t="shared" si="4"/>
        <v>4.509004949309098E-8</v>
      </c>
      <c r="G21" s="23">
        <f>0.000000000253662986</f>
        <v>2.5366298599999998E-10</v>
      </c>
      <c r="H21" s="27">
        <f t="shared" si="5"/>
        <v>1.5189400359281435E-8</v>
      </c>
      <c r="I21" s="27">
        <f t="shared" si="6"/>
        <v>3.0378800718562844E-8</v>
      </c>
      <c r="J21" s="27">
        <f>-2.76410748797402E-07</f>
        <v>-2.7641074879740199E-7</v>
      </c>
      <c r="K21" s="27">
        <f t="shared" si="7"/>
        <v>-1.6551541844155808E-5</v>
      </c>
      <c r="L21" s="28">
        <f t="shared" si="8"/>
        <v>-16.965330390259702</v>
      </c>
      <c r="M21" s="27">
        <f t="shared" si="0"/>
        <v>-3.3103083688311589E-5</v>
      </c>
      <c r="N21" s="27">
        <f>2.27638638374875E-07</f>
        <v>2.27638638374875E-7</v>
      </c>
      <c r="O21" s="27">
        <f t="shared" si="9"/>
        <v>1.3631056190112276E-5</v>
      </c>
      <c r="P21" s="28">
        <f t="shared" si="10"/>
        <v>13.971832594865083</v>
      </c>
      <c r="Q21" s="27">
        <f t="shared" si="1"/>
        <v>2.7262112380224529E-5</v>
      </c>
      <c r="R21" s="23">
        <f>-3.21731803983301E-09</f>
        <v>-3.2173180398330102E-9</v>
      </c>
      <c r="S21" s="27">
        <f t="shared" si="11"/>
        <v>-1.9265377484030001E-7</v>
      </c>
      <c r="T21" s="27">
        <f t="shared" si="12"/>
        <v>-3.8530754968059971E-7</v>
      </c>
      <c r="U21" s="23">
        <f>0.000000030934363856</f>
        <v>3.0934363856E-8</v>
      </c>
      <c r="V21" s="27">
        <f t="shared" si="13"/>
        <v>1.8523571171257484E-6</v>
      </c>
      <c r="W21" s="27">
        <f t="shared" si="14"/>
        <v>3.7047142342514934E-6</v>
      </c>
      <c r="X21" s="28">
        <f t="shared" si="2"/>
        <v>-0.82355204841084162</v>
      </c>
      <c r="Y21" s="27">
        <f>-1.10569087679959E-07</f>
        <v>-1.1056908767995899E-7</v>
      </c>
      <c r="Z21" s="27">
        <f t="shared" si="15"/>
        <v>-6.62090345388976E-6</v>
      </c>
      <c r="AA21" s="27">
        <f t="shared" si="16"/>
        <v>-3.31045172694488E-6</v>
      </c>
      <c r="AB21" s="27">
        <f t="shared" si="17"/>
        <v>-6.620903453889754E-6</v>
      </c>
      <c r="AC21" s="27"/>
      <c r="AD21" s="23"/>
    </row>
    <row r="22" spans="1:32" x14ac:dyDescent="0.2">
      <c r="A22" s="25">
        <v>1.4583333333333333</v>
      </c>
      <c r="B22" s="26">
        <v>24</v>
      </c>
      <c r="C22" s="26">
        <v>6420</v>
      </c>
      <c r="D22" s="23">
        <f>1.1847075777234E-09</f>
        <v>1.1847075777233999E-9</v>
      </c>
      <c r="E22" s="27">
        <f t="shared" si="3"/>
        <v>7.0940573516371255E-8</v>
      </c>
      <c r="F22" s="27"/>
      <c r="G22" s="23">
        <f>0.000000071123120422</f>
        <v>7.1123120422E-8</v>
      </c>
      <c r="H22" s="27">
        <f t="shared" si="5"/>
        <v>4.2588694863473052E-6</v>
      </c>
      <c r="I22" s="23"/>
      <c r="J22" s="23">
        <f>-2.7642274054837E-07</f>
        <v>-2.7642274054837E-7</v>
      </c>
      <c r="K22" s="27">
        <f t="shared" si="7"/>
        <v>-1.6552259913076047E-5</v>
      </c>
      <c r="L22" s="28">
        <f t="shared" si="8"/>
        <v>-16.96606641090295</v>
      </c>
      <c r="M22" s="23"/>
      <c r="N22" s="23">
        <f>2.27642272577247E-07</f>
        <v>2.27642272577247E-7</v>
      </c>
      <c r="O22" s="27">
        <f t="shared" si="9"/>
        <v>1.3631273807020778E-5</v>
      </c>
      <c r="P22" s="28">
        <f t="shared" si="10"/>
        <v>13.972055652196296</v>
      </c>
      <c r="Q22" s="23"/>
      <c r="R22" s="23">
        <f>-2.34683942612775E-08</f>
        <v>-2.3468394261277499E-8</v>
      </c>
      <c r="S22" s="27">
        <f t="shared" si="11"/>
        <v>-1.4052930695375748E-6</v>
      </c>
      <c r="T22" s="23"/>
      <c r="U22" s="23">
        <f>-0.000000021792199696</f>
        <v>-2.1792199695999999E-8</v>
      </c>
      <c r="V22" s="27">
        <f t="shared" si="13"/>
        <v>-1.3049221374850298E-6</v>
      </c>
      <c r="W22" s="23"/>
      <c r="X22" s="28">
        <f t="shared" si="2"/>
        <v>-0.82352946839919228</v>
      </c>
      <c r="Y22" s="23">
        <f>-1.10569105688301E-07</f>
        <v>-1.10569105688301E-7</v>
      </c>
      <c r="Z22" s="27">
        <f t="shared" si="15"/>
        <v>-6.6209045322335926E-6</v>
      </c>
      <c r="AA22" s="27">
        <f t="shared" si="16"/>
        <v>-3.3104522661167963E-6</v>
      </c>
      <c r="AB22" s="23"/>
      <c r="AC22" s="27"/>
      <c r="AD22" s="23"/>
    </row>
    <row r="23" spans="1:32" x14ac:dyDescent="0.2">
      <c r="A23" s="25"/>
      <c r="B23" s="26"/>
      <c r="C23" s="26"/>
      <c r="D23" s="23"/>
      <c r="E23" s="27"/>
      <c r="F23" s="23"/>
      <c r="G23" s="23"/>
      <c r="H23" s="27"/>
      <c r="I23" s="23"/>
      <c r="J23" s="23"/>
      <c r="K23" s="27"/>
      <c r="L23" s="23"/>
      <c r="M23" s="23"/>
      <c r="N23" s="27"/>
      <c r="O23" s="23"/>
      <c r="P23" s="23"/>
      <c r="Q23" s="27"/>
      <c r="R23" s="23"/>
      <c r="S23" s="23"/>
      <c r="T23" s="27"/>
      <c r="U23" s="23"/>
      <c r="V23" s="28"/>
      <c r="W23" s="23"/>
      <c r="X23" s="27"/>
      <c r="Y23" s="27"/>
      <c r="Z23" s="23"/>
      <c r="AA23" s="27"/>
      <c r="AB23" s="23"/>
    </row>
    <row r="24" spans="1:32" x14ac:dyDescent="0.2">
      <c r="A24" s="25"/>
      <c r="B24" s="26"/>
      <c r="C24" s="26"/>
      <c r="D24" s="23"/>
      <c r="E24" s="27"/>
      <c r="F24" s="23"/>
      <c r="G24" s="23"/>
      <c r="H24" s="27"/>
      <c r="I24" s="23"/>
      <c r="J24" s="23"/>
      <c r="K24" s="27"/>
      <c r="L24" s="23"/>
      <c r="M24" s="23"/>
      <c r="N24" s="27"/>
      <c r="O24" s="23"/>
      <c r="P24" s="23"/>
      <c r="Q24" s="27"/>
      <c r="R24" s="23"/>
      <c r="S24" s="23"/>
      <c r="T24" s="27"/>
      <c r="U24" s="23"/>
      <c r="V24" s="28"/>
      <c r="W24" s="23"/>
      <c r="X24" s="27"/>
      <c r="Y24" s="27"/>
      <c r="Z24" s="23"/>
      <c r="AA24" s="27"/>
      <c r="AB24" s="23"/>
    </row>
    <row r="25" spans="1:32" x14ac:dyDescent="0.2">
      <c r="A25" s="10" t="s">
        <v>84</v>
      </c>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row>
    <row r="26" spans="1:32" x14ac:dyDescent="0.2">
      <c r="A26" s="23" t="s">
        <v>99</v>
      </c>
      <c r="B26" s="23" t="s">
        <v>100</v>
      </c>
      <c r="C26" s="23" t="s">
        <v>101</v>
      </c>
      <c r="D26" s="23" t="s">
        <v>102</v>
      </c>
      <c r="E26" s="23" t="s">
        <v>103</v>
      </c>
      <c r="F26" s="23" t="s">
        <v>104</v>
      </c>
      <c r="G26" s="23" t="s">
        <v>105</v>
      </c>
      <c r="H26" s="23" t="s">
        <v>106</v>
      </c>
      <c r="I26" s="23" t="s">
        <v>107</v>
      </c>
      <c r="J26" s="23" t="s">
        <v>108</v>
      </c>
      <c r="K26" s="23" t="s">
        <v>109</v>
      </c>
      <c r="L26" s="23" t="s">
        <v>315</v>
      </c>
      <c r="M26" s="24" t="s">
        <v>110</v>
      </c>
      <c r="N26" s="23" t="s">
        <v>111</v>
      </c>
      <c r="O26" s="23" t="s">
        <v>112</v>
      </c>
      <c r="P26" s="23" t="s">
        <v>315</v>
      </c>
      <c r="Q26" s="23" t="s">
        <v>113</v>
      </c>
      <c r="R26" s="23" t="s">
        <v>114</v>
      </c>
      <c r="S26" s="23" t="s">
        <v>115</v>
      </c>
      <c r="T26" s="23" t="s">
        <v>116</v>
      </c>
      <c r="U26" s="23" t="s">
        <v>117</v>
      </c>
      <c r="V26" s="23" t="s">
        <v>118</v>
      </c>
      <c r="W26" s="23" t="s">
        <v>119</v>
      </c>
      <c r="X26" s="23" t="s">
        <v>125</v>
      </c>
      <c r="Y26" s="23" t="s">
        <v>120</v>
      </c>
      <c r="Z26" s="23" t="s">
        <v>121</v>
      </c>
      <c r="AA26" s="23" t="s">
        <v>122</v>
      </c>
      <c r="AB26" s="23" t="s">
        <v>123</v>
      </c>
      <c r="AC26" s="23"/>
      <c r="AD26" s="23" t="s">
        <v>124</v>
      </c>
      <c r="AE26" s="23" t="s">
        <v>407</v>
      </c>
      <c r="AF26" s="23" t="s">
        <v>408</v>
      </c>
    </row>
    <row r="27" spans="1:32" x14ac:dyDescent="0.2">
      <c r="A27" s="25">
        <v>41958.25</v>
      </c>
      <c r="B27" s="26">
        <v>0</v>
      </c>
      <c r="C27" s="23">
        <v>4680</v>
      </c>
      <c r="D27" s="27">
        <f>-3.9581967688804E-09</f>
        <v>-3.9581967688803996E-9</v>
      </c>
      <c r="E27" s="27">
        <f>D27/0.0167</f>
        <v>-2.3701777059164071E-7</v>
      </c>
      <c r="F27" s="27">
        <f>($A28-$A27)*24*E27</f>
        <v>-4.7403554099013392E-7</v>
      </c>
      <c r="G27" s="27">
        <v>-4.71727125E-7</v>
      </c>
      <c r="H27" s="27">
        <f>G27/0.0167</f>
        <v>-2.8247133233532936E-5</v>
      </c>
      <c r="I27" s="27">
        <f>($A28-$A27)*24*H27</f>
        <v>-5.6494266444047081E-5</v>
      </c>
      <c r="J27" s="27">
        <f>2.25797548157757E-07</f>
        <v>2.25797548157757E-7</v>
      </c>
      <c r="K27" s="27">
        <f>J27/0.0167</f>
        <v>1.3520811266931557E-5</v>
      </c>
      <c r="L27" s="28">
        <f>K27*1000*1025</f>
        <v>13.858831548604845</v>
      </c>
      <c r="M27" s="27">
        <f t="shared" ref="M27:M36" si="21">($A28-$A27)*24*K27</f>
        <v>2.7041622522844906E-5</v>
      </c>
      <c r="N27" s="27">
        <f>1.14363588838904E-07</f>
        <v>1.14363588838904E-7</v>
      </c>
      <c r="O27" s="27">
        <f>N27/0.0167</f>
        <v>6.8481190921499409E-6</v>
      </c>
      <c r="P27" s="28">
        <f>O27*1000*1025</f>
        <v>7.0193220694536897</v>
      </c>
      <c r="Q27" s="27">
        <f t="shared" ref="Q27:Q36" si="22">($A28-$A27)*24*O27</f>
        <v>1.36962381787193E-5</v>
      </c>
      <c r="R27" s="27">
        <f>1.64255539251458E-08</f>
        <v>1.64255539251458E-8</v>
      </c>
      <c r="S27" s="27">
        <f>R27/0.0167</f>
        <v>9.8356610330214381E-7</v>
      </c>
      <c r="T27" s="27">
        <f>($A28-$A27)*24*S27</f>
        <v>1.9671322058027725E-6</v>
      </c>
      <c r="U27" s="27">
        <v>1.10715265E-7</v>
      </c>
      <c r="V27" s="27">
        <f>U27/0.0167</f>
        <v>6.6296565868263476E-6</v>
      </c>
      <c r="W27" s="27">
        <f>($A28-$A27)*24*V27</f>
        <v>1.325931316825014E-5</v>
      </c>
      <c r="X27" s="28">
        <f t="shared" ref="X27:X37" si="23">O27/K27</f>
        <v>0.5064872925856666</v>
      </c>
      <c r="Y27" s="27">
        <f>-1.18722527443985E-07</f>
        <v>-1.18722527443985E-7</v>
      </c>
      <c r="Z27" s="27">
        <f>Y27/0.0167</f>
        <v>-7.1091333798793416E-6</v>
      </c>
      <c r="AA27" s="27">
        <f t="shared" ref="AA27:AA37" si="24">Z27/2</f>
        <v>-3.5545666899396708E-6</v>
      </c>
      <c r="AB27" s="27">
        <f>($A28-$A27)*24*AA27</f>
        <v>-7.1091333769826999E-6</v>
      </c>
      <c r="AC27" s="23"/>
      <c r="AD27" s="23">
        <f>SLOPE(O27:O36,K27:K36)</f>
        <v>-0.78568561452003582</v>
      </c>
      <c r="AE27" s="51">
        <f>SUM(M27:M36)/0.001*1025</f>
        <v>292.23336315847268</v>
      </c>
      <c r="AF27" s="51">
        <f>SUM(AB27:AB36)/0.001*1025</f>
        <v>-66.420701351356158</v>
      </c>
    </row>
    <row r="28" spans="1:32" x14ac:dyDescent="0.2">
      <c r="A28" s="25">
        <v>41958.333333333299</v>
      </c>
      <c r="B28" s="26">
        <v>2</v>
      </c>
      <c r="C28" s="23">
        <v>4800</v>
      </c>
      <c r="D28" s="27">
        <f>-1.865790270457E-09</f>
        <v>-1.8657902704570001E-9</v>
      </c>
      <c r="E28" s="27">
        <f t="shared" ref="E28:E37" si="25">D28/0.0167</f>
        <v>-1.1172396829083834E-7</v>
      </c>
      <c r="F28" s="27">
        <f t="shared" ref="F28:F36" si="26">($A29-$A28)*24*E28</f>
        <v>-2.2344793676376602E-7</v>
      </c>
      <c r="G28" s="27">
        <v>-2.88895754E-7</v>
      </c>
      <c r="H28" s="27">
        <f t="shared" ref="H28:H36" si="27">G28/0.0167</f>
        <v>-1.7299146946107787E-5</v>
      </c>
      <c r="I28" s="27">
        <f t="shared" ref="I28:I35" si="28">($A29-$A28)*24*H28</f>
        <v>-3.4598293920409973E-5</v>
      </c>
      <c r="J28" s="27">
        <f>-1.29718306696619E-07</f>
        <v>-1.29718306696619E-7</v>
      </c>
      <c r="K28" s="27">
        <f t="shared" ref="K28:K36" si="29">J28/0.0167</f>
        <v>-7.7675632752466465E-6</v>
      </c>
      <c r="L28" s="28">
        <f t="shared" ref="L28:L37" si="30">K28*1000*1025</f>
        <v>-7.9617523571278124</v>
      </c>
      <c r="M28" s="27">
        <f t="shared" si="21"/>
        <v>-1.553512656315298E-5</v>
      </c>
      <c r="N28" s="27">
        <f>3.49560723611796E-07</f>
        <v>3.4956072361179601E-7</v>
      </c>
      <c r="O28" s="27">
        <f t="shared" ref="O28:O37" si="31">N28/0.0167</f>
        <v>2.0931779856993774E-5</v>
      </c>
      <c r="P28" s="28">
        <f t="shared" ref="P28:P37" si="32">O28*1000*1025</f>
        <v>21.45507435341862</v>
      </c>
      <c r="Q28" s="27">
        <f t="shared" si="22"/>
        <v>4.1863559748102465E-5</v>
      </c>
      <c r="R28" s="27">
        <f>-1.18527162230598E-08</f>
        <v>-1.18527162230598E-8</v>
      </c>
      <c r="S28" s="27">
        <f t="shared" ref="S28:S37" si="33">R28/0.0167</f>
        <v>-7.0974348641076645E-7</v>
      </c>
      <c r="T28" s="27">
        <f t="shared" ref="T28:T36" si="34">($A29-$A28)*24*S28</f>
        <v>-1.4194869739782832E-6</v>
      </c>
      <c r="U28" s="27">
        <v>-1.5650493E-8</v>
      </c>
      <c r="V28" s="27">
        <f t="shared" ref="V28:V37" si="35">U28/0.0167</f>
        <v>-9.3715526946107788E-7</v>
      </c>
      <c r="W28" s="27">
        <f t="shared" ref="W28:W36" si="36">($A29-$A28)*24*V28</f>
        <v>-1.8743105404495451E-6</v>
      </c>
      <c r="X28" s="28">
        <f t="shared" si="23"/>
        <v>-2.6947678590142052</v>
      </c>
      <c r="Y28" s="27">
        <f>-1.95099342270146E-07</f>
        <v>-1.9509934227014601E-7</v>
      </c>
      <c r="Z28" s="27">
        <f t="shared" ref="Z28:Z37" si="37">Y28/0.0167</f>
        <v>-1.1682595345517724E-5</v>
      </c>
      <c r="AA28" s="27">
        <f t="shared" si="24"/>
        <v>-5.8412976727588622E-6</v>
      </c>
      <c r="AB28" s="27">
        <f t="shared" ref="AB28:AB36" si="38">($A29-$A28)*24*AA28</f>
        <v>-1.1682595355037956E-5</v>
      </c>
      <c r="AC28" s="23"/>
      <c r="AD28" s="23"/>
    </row>
    <row r="29" spans="1:32" x14ac:dyDescent="0.2">
      <c r="A29" s="25">
        <v>41958.416666666701</v>
      </c>
      <c r="B29" s="26">
        <v>4</v>
      </c>
      <c r="C29" s="23">
        <v>4920</v>
      </c>
      <c r="D29" s="27">
        <f>-6.196452421982E-10</f>
        <v>-6.1964524219820003E-10</v>
      </c>
      <c r="E29" s="27">
        <f t="shared" si="25"/>
        <v>-3.7104505520850305E-8</v>
      </c>
      <c r="F29" s="27">
        <f t="shared" si="26"/>
        <v>-7.4209114045283364E-8</v>
      </c>
      <c r="G29" s="27">
        <v>-5.3410066999999998E-8</v>
      </c>
      <c r="H29" s="27">
        <f t="shared" si="27"/>
        <v>-3.1982076047904192E-6</v>
      </c>
      <c r="I29" s="27">
        <f t="shared" si="28"/>
        <v>-6.3964240879323233E-6</v>
      </c>
      <c r="J29" s="27">
        <f>-1.3007924216973E-07</f>
        <v>-1.3007924216973001E-7</v>
      </c>
      <c r="K29" s="27">
        <f t="shared" si="29"/>
        <v>-7.7891761778281443E-6</v>
      </c>
      <c r="L29" s="28">
        <f t="shared" si="30"/>
        <v>-7.9839055822738478</v>
      </c>
      <c r="M29" s="27">
        <f t="shared" si="21"/>
        <v>-1.5578373978719089E-5</v>
      </c>
      <c r="N29" s="27">
        <f>3.49593449158823E-07</f>
        <v>3.4959344915882298E-7</v>
      </c>
      <c r="O29" s="27">
        <f t="shared" si="31"/>
        <v>2.0933739470588204E-5</v>
      </c>
      <c r="P29" s="28">
        <f t="shared" si="32"/>
        <v>21.45708295735291</v>
      </c>
      <c r="Q29" s="27">
        <f t="shared" si="22"/>
        <v>4.1867537054069596E-5</v>
      </c>
      <c r="R29" s="27">
        <f>-3.03496320605176E-08</f>
        <v>-3.0349632060517598E-8</v>
      </c>
      <c r="S29" s="27">
        <f t="shared" si="33"/>
        <v>-1.8173432371567424E-6</v>
      </c>
      <c r="T29" s="27">
        <f t="shared" si="34"/>
        <v>-3.6346915193305766E-6</v>
      </c>
      <c r="U29" s="27">
        <v>-1.5744209E-7</v>
      </c>
      <c r="V29" s="27">
        <f t="shared" si="35"/>
        <v>-9.4276700598802395E-6</v>
      </c>
      <c r="W29" s="27">
        <f t="shared" si="36"/>
        <v>-1.8855366291347451E-5</v>
      </c>
      <c r="X29" s="28">
        <f t="shared" si="23"/>
        <v>-2.6875421729676625</v>
      </c>
      <c r="Y29" s="27">
        <f>-1.95121883814695E-07</f>
        <v>-1.9512188381469499E-7</v>
      </c>
      <c r="Z29" s="27">
        <f t="shared" si="37"/>
        <v>-1.168394513860449E-5</v>
      </c>
      <c r="AA29" s="27">
        <f t="shared" si="24"/>
        <v>-5.8419725693022451E-6</v>
      </c>
      <c r="AB29" s="27">
        <f t="shared" si="38"/>
        <v>-1.1683961356152645E-5</v>
      </c>
      <c r="AC29" s="23"/>
      <c r="AD29" s="23"/>
    </row>
    <row r="30" spans="1:32" x14ac:dyDescent="0.2">
      <c r="A30" s="25">
        <v>41958.500000115702</v>
      </c>
      <c r="B30" s="26">
        <v>6</v>
      </c>
      <c r="C30" s="23">
        <v>5040</v>
      </c>
      <c r="D30" s="27">
        <f>-4.35429202696E-11</f>
        <v>-4.3542920269600002E-11</v>
      </c>
      <c r="E30" s="27">
        <f t="shared" si="25"/>
        <v>-2.6073604951856291E-9</v>
      </c>
      <c r="F30" s="27">
        <f t="shared" si="26"/>
        <v>-1.0429449222673139E-8</v>
      </c>
      <c r="G30" s="27">
        <f>0.000000075932189835</f>
        <v>7.5932189835000002E-8</v>
      </c>
      <c r="H30" s="27">
        <f t="shared" si="27"/>
        <v>4.5468377146706591E-6</v>
      </c>
      <c r="I30" s="27">
        <f t="shared" si="28"/>
        <v>1.8187363487501454E-5</v>
      </c>
      <c r="J30" s="27">
        <f>-1.30080514685297E-07</f>
        <v>-1.30080514685297E-7</v>
      </c>
      <c r="K30" s="27">
        <f t="shared" si="29"/>
        <v>-7.7892523763650908E-6</v>
      </c>
      <c r="L30" s="28">
        <f t="shared" si="30"/>
        <v>-7.9839836857742181</v>
      </c>
      <c r="M30" s="27">
        <f t="shared" si="21"/>
        <v>-3.1157031140069547E-5</v>
      </c>
      <c r="N30" s="27">
        <f>3.49593482116944E-07</f>
        <v>3.4959348211694399E-7</v>
      </c>
      <c r="O30" s="27">
        <f t="shared" si="31"/>
        <v>2.0933741444128385E-5</v>
      </c>
      <c r="P30" s="28">
        <f t="shared" si="32"/>
        <v>21.457084980231595</v>
      </c>
      <c r="Q30" s="27">
        <f t="shared" si="22"/>
        <v>8.3735023919874813E-5</v>
      </c>
      <c r="R30" s="23">
        <f>-3.95937469415724E-08</f>
        <v>-3.9593746941572401E-8</v>
      </c>
      <c r="S30" s="27">
        <f t="shared" si="33"/>
        <v>-2.3708830503935571E-6</v>
      </c>
      <c r="T30" s="27">
        <f t="shared" si="34"/>
        <v>-9.4835387866899412E-6</v>
      </c>
      <c r="U30" s="27">
        <f>-0.000000229273949028</f>
        <v>-2.2927394902799999E-7</v>
      </c>
      <c r="V30" s="27">
        <f t="shared" si="35"/>
        <v>-1.3728978983712574E-5</v>
      </c>
      <c r="W30" s="27">
        <f t="shared" si="36"/>
        <v>-5.4915954067020169E-5</v>
      </c>
      <c r="X30" s="28">
        <f t="shared" si="23"/>
        <v>-2.6875161353928632</v>
      </c>
      <c r="Y30" s="27">
        <f>-1.95121928381901E-07</f>
        <v>-1.95121928381901E-7</v>
      </c>
      <c r="Z30" s="27">
        <f t="shared" si="37"/>
        <v>-1.1683947807299462E-5</v>
      </c>
      <c r="AA30" s="27">
        <f t="shared" si="24"/>
        <v>-5.841973903649731E-6</v>
      </c>
      <c r="AB30" s="27">
        <f t="shared" si="38"/>
        <v>-2.3367911840651974E-5</v>
      </c>
      <c r="AC30" s="23"/>
      <c r="AD30" s="23"/>
    </row>
    <row r="31" spans="1:32" x14ac:dyDescent="0.2">
      <c r="A31" s="25">
        <v>41958.666666898098</v>
      </c>
      <c r="B31" s="26">
        <v>10</v>
      </c>
      <c r="C31" s="23">
        <v>5280</v>
      </c>
      <c r="D31" s="27">
        <f>3.89490269446E-10</f>
        <v>3.89490269446E-10</v>
      </c>
      <c r="E31" s="27">
        <f t="shared" si="25"/>
        <v>2.3322770625508982E-8</v>
      </c>
      <c r="F31" s="27">
        <f t="shared" si="26"/>
        <v>4.6645573699510883E-8</v>
      </c>
      <c r="G31" s="27">
        <f>0.000000183161438414</f>
        <v>1.8316143841399999E-7</v>
      </c>
      <c r="H31" s="27">
        <f t="shared" si="27"/>
        <v>1.0967750803233533E-5</v>
      </c>
      <c r="I31" s="27">
        <f t="shared" si="28"/>
        <v>2.1935516865674043E-5</v>
      </c>
      <c r="J31" s="27">
        <f>-1.28161718883704E-07</f>
        <v>-1.2816171888370401E-7</v>
      </c>
      <c r="K31" s="27">
        <f t="shared" si="29"/>
        <v>-7.6743544241738929E-6</v>
      </c>
      <c r="L31" s="28">
        <f t="shared" si="30"/>
        <v>-7.8662132847782402</v>
      </c>
      <c r="M31" s="27">
        <f t="shared" si="21"/>
        <v>-1.5348719525519857E-5</v>
      </c>
      <c r="N31" s="27">
        <f>3.49322923303622E-07</f>
        <v>3.49322923303622E-7</v>
      </c>
      <c r="O31" s="27">
        <f t="shared" si="31"/>
        <v>2.0917540317582156E-5</v>
      </c>
      <c r="P31" s="28">
        <f t="shared" si="32"/>
        <v>21.440478825521712</v>
      </c>
      <c r="Q31" s="27">
        <f t="shared" si="22"/>
        <v>4.183510973730958E-5</v>
      </c>
      <c r="R31" s="27">
        <f>-4.6503444685749E-08</f>
        <v>-4.6503444685748999E-8</v>
      </c>
      <c r="S31" s="27">
        <f t="shared" si="33"/>
        <v>-2.7846374063322753E-6</v>
      </c>
      <c r="T31" s="27">
        <f t="shared" si="34"/>
        <v>-5.5692786868735198E-6</v>
      </c>
      <c r="U31" s="27">
        <f>-0.000000282992666582</f>
        <v>-2.82992666582E-7</v>
      </c>
      <c r="V31" s="27">
        <f t="shared" si="35"/>
        <v>-1.6945668657604791E-5</v>
      </c>
      <c r="W31" s="27">
        <f t="shared" si="36"/>
        <v>-3.3891360891371188E-5</v>
      </c>
      <c r="X31" s="28">
        <f t="shared" si="23"/>
        <v>-2.7256416841647013</v>
      </c>
      <c r="Y31" s="27">
        <f>-1.94974692362328E-07</f>
        <v>-1.9497469236232801E-7</v>
      </c>
      <c r="Z31" s="27">
        <f t="shared" si="37"/>
        <v>-1.1675131279181318E-5</v>
      </c>
      <c r="AA31" s="27">
        <f t="shared" si="24"/>
        <v>-5.8375656395906592E-6</v>
      </c>
      <c r="AB31" s="27">
        <f t="shared" si="38"/>
        <v>-1.1675139400866788E-5</v>
      </c>
      <c r="AC31" s="23"/>
      <c r="AD31" s="23"/>
    </row>
    <row r="32" spans="1:32" x14ac:dyDescent="0.2">
      <c r="A32" s="25">
        <v>41958.750000289401</v>
      </c>
      <c r="B32" s="26">
        <v>12</v>
      </c>
      <c r="C32" s="23">
        <v>5400</v>
      </c>
      <c r="D32" s="27">
        <f>2.11919123369E-11</f>
        <v>2.1191912336899999E-11</v>
      </c>
      <c r="E32" s="27">
        <f t="shared" si="25"/>
        <v>1.2689767866407185E-9</v>
      </c>
      <c r="F32" s="27">
        <f t="shared" si="26"/>
        <v>5.0759106711394979E-9</v>
      </c>
      <c r="G32" s="27">
        <f>0.000000183751181935</f>
        <v>1.83751181935E-7</v>
      </c>
      <c r="H32" s="27">
        <f t="shared" si="27"/>
        <v>1.1003064786526947E-5</v>
      </c>
      <c r="I32" s="27">
        <f t="shared" si="28"/>
        <v>4.4012289707064732E-5</v>
      </c>
      <c r="J32" s="27">
        <f>4.25867252114779E-07</f>
        <v>4.2586725211477902E-7</v>
      </c>
      <c r="K32" s="27">
        <f t="shared" si="29"/>
        <v>2.5501033060765211E-5</v>
      </c>
      <c r="L32" s="28">
        <f t="shared" si="30"/>
        <v>26.138558887284344</v>
      </c>
      <c r="M32" s="27">
        <f t="shared" si="21"/>
        <v>1.0200420307205153E-4</v>
      </c>
      <c r="N32" s="27">
        <f>-7.6399099457638E-08</f>
        <v>-7.6399099457638001E-8</v>
      </c>
      <c r="O32" s="27">
        <f t="shared" si="31"/>
        <v>-4.5747963747088628E-6</v>
      </c>
      <c r="P32" s="28">
        <f t="shared" si="32"/>
        <v>-4.6891662840765846</v>
      </c>
      <c r="Q32" s="27">
        <f t="shared" si="22"/>
        <v>-1.8299198205309304E-5</v>
      </c>
      <c r="R32" s="27">
        <f>-3.99510133556744E-08</f>
        <v>-3.9951013355674401E-8</v>
      </c>
      <c r="S32" s="27">
        <f t="shared" si="33"/>
        <v>-2.3922762488427785E-6</v>
      </c>
      <c r="T32" s="27">
        <f t="shared" si="34"/>
        <v>-9.5691116399063286E-6</v>
      </c>
      <c r="U32" s="27">
        <f>-0.000000283433199121</f>
        <v>-2.8343319912099998E-7</v>
      </c>
      <c r="V32" s="27">
        <f t="shared" si="35"/>
        <v>-1.6972047851556887E-5</v>
      </c>
      <c r="W32" s="27">
        <f t="shared" si="36"/>
        <v>-6.7888238546004847E-5</v>
      </c>
      <c r="X32" s="28">
        <f t="shared" si="23"/>
        <v>-0.17939651165534337</v>
      </c>
      <c r="Y32" s="27">
        <f>-2.65245527126829E-08</f>
        <v>-2.6524552712682901E-8</v>
      </c>
      <c r="Z32" s="27">
        <f t="shared" si="37"/>
        <v>-1.5882965696217307E-6</v>
      </c>
      <c r="AA32" s="27">
        <f t="shared" si="24"/>
        <v>-7.9414828481086535E-7</v>
      </c>
      <c r="AB32" s="27">
        <f t="shared" si="38"/>
        <v>-3.1765953449863168E-6</v>
      </c>
      <c r="AC32" s="23"/>
      <c r="AD32" s="23"/>
    </row>
    <row r="33" spans="1:32" x14ac:dyDescent="0.2">
      <c r="A33" s="25">
        <v>41958.916667071797</v>
      </c>
      <c r="B33" s="26">
        <v>16</v>
      </c>
      <c r="C33" s="23">
        <v>5640</v>
      </c>
      <c r="D33" s="27">
        <f>-2.67795034056801E-09</f>
        <v>-2.6779503405680101E-9</v>
      </c>
      <c r="E33" s="27">
        <f t="shared" si="25"/>
        <v>-1.6035630781844372E-7</v>
      </c>
      <c r="F33" s="27">
        <f t="shared" si="26"/>
        <v>-3.2071283834530642E-7</v>
      </c>
      <c r="G33" s="27">
        <v>-2.6822199399999998E-7</v>
      </c>
      <c r="H33" s="27">
        <f t="shared" si="27"/>
        <v>-1.6061197245508983E-5</v>
      </c>
      <c r="I33" s="27">
        <f t="shared" si="28"/>
        <v>-3.2122416797367461E-5</v>
      </c>
      <c r="J33" s="27">
        <f>4.8780487804878E-07</f>
        <v>4.8780487804878002E-7</v>
      </c>
      <c r="K33" s="27">
        <f t="shared" si="29"/>
        <v>2.9209872937052698E-5</v>
      </c>
      <c r="L33" s="28">
        <f t="shared" si="30"/>
        <v>29.940119760479014</v>
      </c>
      <c r="M33" s="27">
        <f t="shared" si="21"/>
        <v>5.8419786441793128E-5</v>
      </c>
      <c r="N33" s="27">
        <f>-1.38211382113821E-07</f>
        <v>-1.3821138211382101E-7</v>
      </c>
      <c r="O33" s="27">
        <f t="shared" si="31"/>
        <v>-8.2761306654982646E-6</v>
      </c>
      <c r="P33" s="28">
        <f t="shared" si="32"/>
        <v>-8.4830339321357204</v>
      </c>
      <c r="Q33" s="27">
        <f t="shared" si="22"/>
        <v>-1.6552272825174717E-5</v>
      </c>
      <c r="R33" s="27">
        <f>4.18439587035854E-09</f>
        <v>4.1843958703585404E-9</v>
      </c>
      <c r="S33" s="27">
        <f t="shared" si="33"/>
        <v>2.5056262696757726E-7</v>
      </c>
      <c r="T33" s="27">
        <f t="shared" si="34"/>
        <v>5.0112560192524783E-7</v>
      </c>
      <c r="U33" s="27">
        <v>1.515513E-9</v>
      </c>
      <c r="V33" s="27">
        <f t="shared" si="35"/>
        <v>9.0749281437125753E-8</v>
      </c>
      <c r="W33" s="27">
        <f t="shared" si="36"/>
        <v>1.8149868891001068E-7</v>
      </c>
      <c r="X33" s="28">
        <f t="shared" si="23"/>
        <v>-0.28333333333333333</v>
      </c>
      <c r="Y33" s="27">
        <f>1.6260162601626E-08</f>
        <v>1.6260162601625999E-8</v>
      </c>
      <c r="Z33" s="27">
        <f t="shared" si="37"/>
        <v>9.7366243123508984E-7</v>
      </c>
      <c r="AA33" s="27">
        <f t="shared" si="24"/>
        <v>4.8683121561754492E-7</v>
      </c>
      <c r="AB33" s="27">
        <f t="shared" si="38"/>
        <v>9.7366310736321873E-7</v>
      </c>
      <c r="AC33" s="23"/>
      <c r="AD33" s="23"/>
    </row>
    <row r="34" spans="1:32" x14ac:dyDescent="0.2">
      <c r="A34" s="25">
        <v>41959.000000462998</v>
      </c>
      <c r="B34" s="26">
        <v>18</v>
      </c>
      <c r="C34" s="23">
        <v>5760</v>
      </c>
      <c r="D34" s="27">
        <f>-3.3528412183021E-09</f>
        <v>-3.3528412183020999E-9</v>
      </c>
      <c r="E34" s="27">
        <f t="shared" si="25"/>
        <v>-2.0076893522767067E-7</v>
      </c>
      <c r="F34" s="27">
        <f t="shared" si="26"/>
        <v>-4.0153814929022323E-7</v>
      </c>
      <c r="G34" s="27">
        <v>-3.7148801199999999E-7</v>
      </c>
      <c r="H34" s="27">
        <f t="shared" si="27"/>
        <v>-2.2244791137724552E-5</v>
      </c>
      <c r="I34" s="27">
        <f t="shared" si="28"/>
        <v>-4.4489613169788917E-5</v>
      </c>
      <c r="J34" s="27">
        <f>4.8780487804878E-07</f>
        <v>4.8780487804878002E-7</v>
      </c>
      <c r="K34" s="27">
        <f t="shared" si="29"/>
        <v>2.9209872937052698E-5</v>
      </c>
      <c r="L34" s="28">
        <f t="shared" si="30"/>
        <v>29.940119760479014</v>
      </c>
      <c r="M34" s="27">
        <f t="shared" si="21"/>
        <v>5.8419786441793128E-5</v>
      </c>
      <c r="N34" s="27">
        <f>-1.38211382113821E-07</f>
        <v>-1.3821138211382101E-7</v>
      </c>
      <c r="O34" s="27">
        <f t="shared" si="31"/>
        <v>-8.2761306654982646E-6</v>
      </c>
      <c r="P34" s="28">
        <f t="shared" si="32"/>
        <v>-8.4830339321357204</v>
      </c>
      <c r="Q34" s="27">
        <f t="shared" si="22"/>
        <v>-1.6552272825174717E-5</v>
      </c>
      <c r="R34" s="27">
        <f>1.17548581793193E-08</f>
        <v>1.17548581793193E-8</v>
      </c>
      <c r="S34" s="27">
        <f t="shared" si="33"/>
        <v>7.038837233125329E-7</v>
      </c>
      <c r="T34" s="27">
        <f t="shared" si="34"/>
        <v>1.4077684242032683E-6</v>
      </c>
      <c r="U34" s="27">
        <v>6.0346875000000001E-8</v>
      </c>
      <c r="V34" s="27">
        <f t="shared" si="35"/>
        <v>3.6135853293413175E-6</v>
      </c>
      <c r="W34" s="27">
        <f t="shared" si="36"/>
        <v>7.2271756773556545E-6</v>
      </c>
      <c r="X34" s="28">
        <f t="shared" si="23"/>
        <v>-0.28333333333333333</v>
      </c>
      <c r="Y34" s="27">
        <f>1.6260162601626E-08</f>
        <v>1.6260162601625999E-8</v>
      </c>
      <c r="Z34" s="27">
        <f t="shared" si="37"/>
        <v>9.7366243123508984E-7</v>
      </c>
      <c r="AA34" s="27">
        <f t="shared" si="24"/>
        <v>4.8683121561754492E-7</v>
      </c>
      <c r="AB34" s="27">
        <f t="shared" si="38"/>
        <v>9.7366310736321873E-7</v>
      </c>
      <c r="AC34" s="23"/>
      <c r="AD34" s="23"/>
    </row>
    <row r="35" spans="1:32" x14ac:dyDescent="0.2">
      <c r="A35" s="25">
        <v>41959.0833338542</v>
      </c>
      <c r="B35" s="26">
        <v>20</v>
      </c>
      <c r="C35" s="23">
        <v>5880</v>
      </c>
      <c r="D35" s="27">
        <f>-3.7417279580306E-09</f>
        <v>-3.7417279580306001E-9</v>
      </c>
      <c r="E35" s="27">
        <f t="shared" si="25"/>
        <v>-2.2405556634913773E-7</v>
      </c>
      <c r="F35" s="27">
        <f t="shared" si="26"/>
        <v>-4.4811144387444076E-7</v>
      </c>
      <c r="G35" s="27">
        <v>-4.2704546799999997E-7</v>
      </c>
      <c r="H35" s="27">
        <f t="shared" si="27"/>
        <v>-2.557158491017964E-5</v>
      </c>
      <c r="I35" s="27">
        <f t="shared" si="28"/>
        <v>-5.1143205335066023E-5</v>
      </c>
      <c r="J35" s="27">
        <f>4.8780487804878E-07</f>
        <v>4.8780487804878002E-7</v>
      </c>
      <c r="K35" s="27">
        <f t="shared" si="29"/>
        <v>2.9209872937052698E-5</v>
      </c>
      <c r="L35" s="28">
        <f t="shared" si="30"/>
        <v>29.940119760479014</v>
      </c>
      <c r="M35" s="27">
        <f t="shared" si="21"/>
        <v>5.8419786441793128E-5</v>
      </c>
      <c r="N35" s="27">
        <f>-1.38211382113821E-07</f>
        <v>-1.3821138211382101E-7</v>
      </c>
      <c r="O35" s="27">
        <f t="shared" si="31"/>
        <v>-8.2761306654982646E-6</v>
      </c>
      <c r="P35" s="28">
        <f t="shared" si="32"/>
        <v>-8.4830339321357204</v>
      </c>
      <c r="Q35" s="27">
        <f t="shared" si="22"/>
        <v>-1.6552272825174717E-5</v>
      </c>
      <c r="R35" s="27">
        <f>1.55317186981035E-08</f>
        <v>1.5531718698103501E-8</v>
      </c>
      <c r="S35" s="27">
        <f t="shared" si="33"/>
        <v>9.3004303581458092E-7</v>
      </c>
      <c r="T35" s="27">
        <f t="shared" si="34"/>
        <v>1.8600873633052857E-6</v>
      </c>
      <c r="U35" s="27">
        <v>8.9698005999999996E-8</v>
      </c>
      <c r="V35" s="27">
        <f t="shared" si="35"/>
        <v>5.3711380838323355E-6</v>
      </c>
      <c r="W35" s="27">
        <f t="shared" si="36"/>
        <v>1.07422836272881E-5</v>
      </c>
      <c r="X35" s="28">
        <f t="shared" si="23"/>
        <v>-0.28333333333333333</v>
      </c>
      <c r="Y35" s="27">
        <f>1.6260162601626E-08</f>
        <v>1.6260162601625999E-8</v>
      </c>
      <c r="Z35" s="27">
        <f t="shared" si="37"/>
        <v>9.7366243123508984E-7</v>
      </c>
      <c r="AA35" s="27">
        <f t="shared" si="24"/>
        <v>4.8683121561754492E-7</v>
      </c>
      <c r="AB35" s="27">
        <f t="shared" si="38"/>
        <v>9.7366310736321873E-7</v>
      </c>
      <c r="AC35" s="23"/>
      <c r="AD35" s="23"/>
    </row>
    <row r="36" spans="1:32" x14ac:dyDescent="0.2">
      <c r="A36" s="25">
        <v>41959.166667245401</v>
      </c>
      <c r="B36" s="26">
        <v>22</v>
      </c>
      <c r="C36" s="23">
        <v>6000</v>
      </c>
      <c r="D36" s="27">
        <f>-3.9587636835829E-09</f>
        <v>-3.9587636835829001E-9</v>
      </c>
      <c r="E36" s="27">
        <f t="shared" si="25"/>
        <v>-2.3705171757981438E-7</v>
      </c>
      <c r="F36" s="27">
        <f t="shared" si="26"/>
        <v>-4.7410376438530103E-7</v>
      </c>
      <c r="G36" s="27">
        <v>-4.5693131900000002E-7</v>
      </c>
      <c r="H36" s="27">
        <f t="shared" si="27"/>
        <v>-2.7361156826347306E-5</v>
      </c>
      <c r="I36" s="27">
        <f>($A37-$A36)*24*H36</f>
        <v>-5.4722351652821088E-5</v>
      </c>
      <c r="J36" s="27">
        <f>4.8780487804878E-07</f>
        <v>4.8780487804878002E-7</v>
      </c>
      <c r="K36" s="27">
        <f t="shared" si="29"/>
        <v>2.9209872937052698E-5</v>
      </c>
      <c r="L36" s="28">
        <f t="shared" si="30"/>
        <v>29.940119760479014</v>
      </c>
      <c r="M36" s="27">
        <f t="shared" si="21"/>
        <v>5.8419786441793128E-5</v>
      </c>
      <c r="N36" s="27">
        <f>-1.38211382113821E-07</f>
        <v>-1.3821138211382101E-7</v>
      </c>
      <c r="O36" s="27">
        <f t="shared" si="31"/>
        <v>-8.2761306654982646E-6</v>
      </c>
      <c r="P36" s="28">
        <f t="shared" si="32"/>
        <v>-8.4830339321357204</v>
      </c>
      <c r="Q36" s="27">
        <f t="shared" si="22"/>
        <v>-1.6552272825174717E-5</v>
      </c>
      <c r="R36" s="27">
        <f>1.74159688538165E-08</f>
        <v>1.7415968853816502E-8</v>
      </c>
      <c r="S36" s="27">
        <f t="shared" si="33"/>
        <v>1.0428723864560779E-6</v>
      </c>
      <c r="T36" s="27">
        <f t="shared" si="34"/>
        <v>2.085746221289607E-6</v>
      </c>
      <c r="U36" s="27">
        <v>1.04341088E-7</v>
      </c>
      <c r="V36" s="27">
        <f t="shared" si="35"/>
        <v>6.2479693413173652E-6</v>
      </c>
      <c r="W36" s="27">
        <f t="shared" si="36"/>
        <v>1.2495947360031915E-5</v>
      </c>
      <c r="X36" s="28">
        <f t="shared" si="23"/>
        <v>-0.28333333333333333</v>
      </c>
      <c r="Y36" s="27">
        <f>1.6260162601626E-08</f>
        <v>1.6260162601625999E-8</v>
      </c>
      <c r="Z36" s="27">
        <f t="shared" si="37"/>
        <v>9.7366243123508984E-7</v>
      </c>
      <c r="AA36" s="27">
        <f t="shared" si="24"/>
        <v>4.8683121561754492E-7</v>
      </c>
      <c r="AB36" s="27">
        <f t="shared" si="38"/>
        <v>9.7366310736321873E-7</v>
      </c>
      <c r="AC36" s="23"/>
      <c r="AD36" s="23"/>
    </row>
    <row r="37" spans="1:32" x14ac:dyDescent="0.2">
      <c r="A37" s="25">
        <v>41959.250000636603</v>
      </c>
      <c r="B37" s="26">
        <v>24</v>
      </c>
      <c r="C37" s="23">
        <v>6120</v>
      </c>
      <c r="D37" s="27">
        <f>-3.9581967690427E-09</f>
        <v>-3.9581967690426999E-9</v>
      </c>
      <c r="E37" s="27">
        <f t="shared" si="25"/>
        <v>-2.3701777060135927E-7</v>
      </c>
      <c r="F37" s="27"/>
      <c r="G37" s="23">
        <v>-4.71727125E-7</v>
      </c>
      <c r="H37" s="27">
        <f>G37/0.0167</f>
        <v>-2.8247133233532936E-5</v>
      </c>
      <c r="I37" s="23"/>
      <c r="J37" s="27">
        <f>2.25797548157757E-07</f>
        <v>2.25797548157757E-7</v>
      </c>
      <c r="K37" s="27">
        <f>J37/0.0167</f>
        <v>1.3520811266931557E-5</v>
      </c>
      <c r="L37" s="28">
        <f t="shared" si="30"/>
        <v>13.858831548604845</v>
      </c>
      <c r="M37" s="23"/>
      <c r="N37" s="27">
        <f>1.14363588838904E-07</f>
        <v>1.14363588838904E-7</v>
      </c>
      <c r="O37" s="27">
        <f t="shared" si="31"/>
        <v>6.8481190921499409E-6</v>
      </c>
      <c r="P37" s="28">
        <f t="shared" si="32"/>
        <v>7.0193220694536897</v>
      </c>
      <c r="Q37" s="23"/>
      <c r="R37" s="27">
        <f>1.64255539251667E-08</f>
        <v>1.6425553925166702E-8</v>
      </c>
      <c r="S37" s="27">
        <f t="shared" si="33"/>
        <v>9.835661033033953E-7</v>
      </c>
      <c r="T37" s="23"/>
      <c r="U37" s="27">
        <v>1.10715265E-7</v>
      </c>
      <c r="V37" s="27">
        <f t="shared" si="35"/>
        <v>6.6296565868263476E-6</v>
      </c>
      <c r="W37" s="23"/>
      <c r="X37" s="28">
        <f t="shared" si="23"/>
        <v>0.5064872925856666</v>
      </c>
      <c r="Y37" s="27">
        <f>-1.18722527443985E-07</f>
        <v>-1.18722527443985E-7</v>
      </c>
      <c r="Z37" s="27">
        <f t="shared" si="37"/>
        <v>-7.1091333798793416E-6</v>
      </c>
      <c r="AA37" s="27">
        <f t="shared" si="24"/>
        <v>-3.5545666899396708E-6</v>
      </c>
      <c r="AB37" s="23"/>
      <c r="AC37" s="23"/>
      <c r="AD37" s="23"/>
    </row>
    <row r="38" spans="1:32" x14ac:dyDescent="0.2">
      <c r="A38" s="25"/>
      <c r="B38" s="26"/>
      <c r="C38" s="23"/>
      <c r="D38" s="27"/>
      <c r="E38" s="27"/>
      <c r="F38" s="23"/>
      <c r="G38" s="23"/>
      <c r="H38" s="27"/>
      <c r="I38" s="23"/>
      <c r="J38" s="27"/>
      <c r="K38" s="27"/>
      <c r="L38" s="23"/>
      <c r="M38" s="27"/>
      <c r="N38" s="27"/>
      <c r="O38" s="23"/>
      <c r="P38" s="27"/>
      <c r="Q38" s="27"/>
      <c r="R38" s="23"/>
      <c r="S38" s="27"/>
      <c r="T38" s="27"/>
      <c r="U38" s="23"/>
      <c r="V38" s="28"/>
      <c r="W38" s="27"/>
      <c r="X38" s="27"/>
      <c r="Y38" s="27"/>
      <c r="Z38" s="23"/>
      <c r="AA38" s="23"/>
      <c r="AB38" s="23"/>
    </row>
    <row r="39" spans="1:32" x14ac:dyDescent="0.2">
      <c r="A39" s="25"/>
      <c r="B39" s="26"/>
      <c r="C39" s="23"/>
      <c r="D39" s="27"/>
      <c r="E39" s="27"/>
      <c r="F39" s="23"/>
      <c r="G39" s="23"/>
      <c r="H39" s="27"/>
      <c r="I39" s="23"/>
      <c r="J39" s="27"/>
      <c r="K39" s="27"/>
      <c r="L39" s="23"/>
      <c r="M39" s="27"/>
      <c r="N39" s="27"/>
      <c r="O39" s="23"/>
      <c r="P39" s="27"/>
      <c r="Q39" s="27"/>
      <c r="R39" s="23"/>
      <c r="S39" s="27"/>
      <c r="T39" s="27"/>
      <c r="U39" s="23"/>
      <c r="V39" s="28"/>
      <c r="W39" s="27"/>
      <c r="X39" s="27"/>
      <c r="Y39" s="27"/>
      <c r="Z39" s="23"/>
      <c r="AA39" s="23"/>
      <c r="AB39" s="23"/>
    </row>
    <row r="40" spans="1:32" x14ac:dyDescent="0.2">
      <c r="A40" s="10" t="s">
        <v>85</v>
      </c>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row>
    <row r="41" spans="1:32" x14ac:dyDescent="0.2">
      <c r="A41" s="23" t="s">
        <v>99</v>
      </c>
      <c r="B41" s="23" t="s">
        <v>100</v>
      </c>
      <c r="C41" s="23" t="s">
        <v>101</v>
      </c>
      <c r="D41" s="23" t="s">
        <v>102</v>
      </c>
      <c r="E41" s="23" t="s">
        <v>103</v>
      </c>
      <c r="F41" s="23" t="s">
        <v>104</v>
      </c>
      <c r="G41" s="23" t="s">
        <v>105</v>
      </c>
      <c r="H41" s="23" t="s">
        <v>106</v>
      </c>
      <c r="I41" s="23" t="s">
        <v>107</v>
      </c>
      <c r="J41" s="23" t="s">
        <v>108</v>
      </c>
      <c r="K41" s="23" t="s">
        <v>109</v>
      </c>
      <c r="L41" s="23" t="s">
        <v>315</v>
      </c>
      <c r="M41" s="24" t="s">
        <v>110</v>
      </c>
      <c r="N41" s="23" t="s">
        <v>111</v>
      </c>
      <c r="O41" s="23" t="s">
        <v>112</v>
      </c>
      <c r="P41" s="23" t="s">
        <v>315</v>
      </c>
      <c r="Q41" s="23" t="s">
        <v>113</v>
      </c>
      <c r="R41" s="23" t="s">
        <v>114</v>
      </c>
      <c r="S41" s="23" t="s">
        <v>115</v>
      </c>
      <c r="T41" s="23" t="s">
        <v>116</v>
      </c>
      <c r="U41" s="23" t="s">
        <v>117</v>
      </c>
      <c r="V41" s="23" t="s">
        <v>118</v>
      </c>
      <c r="W41" s="23" t="s">
        <v>119</v>
      </c>
      <c r="X41" s="23" t="s">
        <v>125</v>
      </c>
      <c r="Y41" s="23" t="s">
        <v>120</v>
      </c>
      <c r="Z41" s="23" t="s">
        <v>121</v>
      </c>
      <c r="AA41" s="23" t="s">
        <v>122</v>
      </c>
      <c r="AB41" s="23" t="s">
        <v>123</v>
      </c>
      <c r="AC41" s="23"/>
      <c r="AD41" s="23" t="s">
        <v>124</v>
      </c>
      <c r="AE41" s="23" t="s">
        <v>407</v>
      </c>
      <c r="AF41" s="23" t="s">
        <v>408</v>
      </c>
    </row>
    <row r="42" spans="1:32" x14ac:dyDescent="0.2">
      <c r="A42" s="20">
        <v>42300.25</v>
      </c>
      <c r="B42" s="23">
        <v>0</v>
      </c>
      <c r="C42" s="23">
        <v>4680</v>
      </c>
      <c r="D42" s="23">
        <f>-1.80174814173711E-09</f>
        <v>-1.80174814173711E-9</v>
      </c>
      <c r="E42" s="27">
        <f t="shared" ref="E42:E54" si="39">D42/0.0167</f>
        <v>-1.0788911028365929E-7</v>
      </c>
      <c r="F42" s="27">
        <f>($A43-$A42)*24*E42</f>
        <v>-2.1577822057359855E-7</v>
      </c>
      <c r="G42" s="23">
        <v>-2.5884213200000001E-7</v>
      </c>
      <c r="H42" s="27">
        <f t="shared" ref="H42:H54" si="40">G42/0.0167</f>
        <v>-1.549952886227545E-5</v>
      </c>
      <c r="I42" s="27">
        <f>($A43-$A42)*24*H42</f>
        <v>-3.0999057725453092E-5</v>
      </c>
      <c r="J42" s="23">
        <f>1.84803661145578E-07</f>
        <v>1.84803661145578E-7</v>
      </c>
      <c r="K42" s="27">
        <f t="shared" ref="K42:K54" si="41">J42/0.0167</f>
        <v>1.1066087493747186E-5</v>
      </c>
      <c r="L42" s="28">
        <f>K42*1000*1025</f>
        <v>11.342739681090865</v>
      </c>
      <c r="M42" s="27">
        <f t="shared" ref="M42:M53" si="42">($A43-$A42)*24*K42</f>
        <v>2.2132174988138503E-5</v>
      </c>
      <c r="N42" s="23">
        <f>1.6254119837689E-08</f>
        <v>1.6254119837688999E-8</v>
      </c>
      <c r="O42" s="27">
        <f t="shared" ref="O42:O54" si="43">N42/0.0167</f>
        <v>9.7330058908317353E-7</v>
      </c>
      <c r="P42" s="28">
        <f>O42*1000*1025</f>
        <v>0.99763310381025283</v>
      </c>
      <c r="Q42" s="27">
        <f t="shared" ref="Q42:Q53" si="44">($A43-$A42)*24*O42</f>
        <v>1.9466011782230004E-6</v>
      </c>
      <c r="R42" s="23">
        <f>8.51888041269608E-09</f>
        <v>8.5188804126960792E-9</v>
      </c>
      <c r="S42" s="27">
        <f t="shared" ref="S42:S54" si="45">R42/0.0167</f>
        <v>5.1011259956263948E-7</v>
      </c>
      <c r="T42" s="27">
        <f>($A43-$A42)*24*S42</f>
        <v>1.0202251991549715E-6</v>
      </c>
      <c r="U42" s="23">
        <v>6.1015487E-8</v>
      </c>
      <c r="V42" s="27">
        <f t="shared" ref="V42:V54" si="46">U42/0.0167</f>
        <v>3.6536219760479045E-6</v>
      </c>
      <c r="W42" s="27">
        <f>($A43-$A42)*24*V42</f>
        <v>7.3072439523084778E-6</v>
      </c>
      <c r="X42" s="28">
        <f t="shared" ref="X42:X54" si="47">O42/K42</f>
        <v>8.7953451446424052E-2</v>
      </c>
      <c r="Y42" s="23">
        <f>-7.4245088362121E-08</f>
        <v>-7.4245088362121E-8</v>
      </c>
      <c r="Z42" s="27">
        <f t="shared" ref="Z42:Z54" si="48">Y42/0.0167</f>
        <v>-4.4458136743785027E-6</v>
      </c>
      <c r="AA42" s="27">
        <f t="shared" ref="AA42:AA54" si="49">Z42/2</f>
        <v>-2.2229068371892514E-6</v>
      </c>
      <c r="AB42" s="27">
        <f>($A43-$A42)*24*AA42</f>
        <v>-4.4458136745078929E-6</v>
      </c>
      <c r="AC42" s="23"/>
      <c r="AD42" s="23">
        <f>SLOPE(O43:O53,K43:K53)</f>
        <v>-0.62324296484696062</v>
      </c>
      <c r="AE42" s="51">
        <f>SUM(M42:M52)/0.001*1025</f>
        <v>130.98682308994466</v>
      </c>
      <c r="AF42" s="51">
        <f>SUM(AB42:AB52)/0.001*1025</f>
        <v>-65.675964081215028</v>
      </c>
    </row>
    <row r="43" spans="1:32" x14ac:dyDescent="0.2">
      <c r="A43" s="20">
        <v>42300.333333333336</v>
      </c>
      <c r="B43" s="26">
        <v>2</v>
      </c>
      <c r="C43" s="23">
        <v>4800</v>
      </c>
      <c r="D43" s="27">
        <f>-8.2652015338587E-10</f>
        <v>-8.2652015338586997E-10</v>
      </c>
      <c r="E43" s="27">
        <f t="shared" si="39"/>
        <v>-4.9492224753644907E-8</v>
      </c>
      <c r="F43" s="27">
        <f t="shared" ref="F43:F53" si="50">($A44-$A43)*24*E43</f>
        <v>-9.8984449501528164E-8</v>
      </c>
      <c r="G43" s="27">
        <v>-1.39989337E-7</v>
      </c>
      <c r="H43" s="27">
        <f t="shared" si="40"/>
        <v>-8.3825950299401207E-6</v>
      </c>
      <c r="I43" s="27">
        <f t="shared" ref="I43:I53" si="51">($A44-$A43)*24*H43</f>
        <v>-1.6765190058904378E-5</v>
      </c>
      <c r="J43" s="27">
        <f>-1.30074599870788E-07</f>
        <v>-1.3007459987078799E-7</v>
      </c>
      <c r="K43" s="27">
        <f t="shared" si="41"/>
        <v>-7.7888981958555681E-6</v>
      </c>
      <c r="L43" s="28">
        <f t="shared" ref="L43:L54" si="52">K43*1000*1025</f>
        <v>-7.9836206507519565</v>
      </c>
      <c r="M43" s="27">
        <f t="shared" si="42"/>
        <v>-1.5577796390804387E-5</v>
      </c>
      <c r="N43" s="27">
        <f>1.8699186399498E-07</f>
        <v>1.8699186399498E-7</v>
      </c>
      <c r="O43" s="27">
        <f t="shared" si="43"/>
        <v>1.1197117604489821E-5</v>
      </c>
      <c r="P43" s="28">
        <f t="shared" ref="P43:P54" si="53">O43*1000*1025</f>
        <v>11.477045544602065</v>
      </c>
      <c r="Q43" s="27">
        <f t="shared" si="44"/>
        <v>2.2394235207676126E-5</v>
      </c>
      <c r="R43" s="27">
        <f>-6.18076826561772E-09</f>
        <v>-6.1807682656177198E-9</v>
      </c>
      <c r="S43" s="27">
        <f t="shared" si="45"/>
        <v>-3.7010588416872576E-7</v>
      </c>
      <c r="T43" s="27">
        <f t="shared" ref="T43:T53" si="54">($A44-$A43)*24*S43</f>
        <v>-7.4021176829436549E-7</v>
      </c>
      <c r="U43" s="27">
        <v>-9.7122150000000003E-9</v>
      </c>
      <c r="V43" s="27">
        <f t="shared" si="46"/>
        <v>-5.8156976047904199E-7</v>
      </c>
      <c r="W43" s="27">
        <f t="shared" ref="W43:W53" si="55">($A44-$A43)*24*V43</f>
        <v>-1.1631395208903804E-6</v>
      </c>
      <c r="X43" s="28">
        <f t="shared" si="47"/>
        <v>-1.4375740089205107</v>
      </c>
      <c r="Y43" s="27">
        <f>-8.9429843131095E-08</f>
        <v>-8.9429843131094998E-8</v>
      </c>
      <c r="Z43" s="27">
        <f t="shared" si="48"/>
        <v>-5.3550804270116764E-6</v>
      </c>
      <c r="AA43" s="27">
        <f t="shared" si="49"/>
        <v>-2.6775402135058382E-6</v>
      </c>
      <c r="AB43" s="27">
        <f t="shared" ref="AB43:AB53" si="56">($A44-$A43)*24*AA43</f>
        <v>-5.3550804266999699E-6</v>
      </c>
      <c r="AC43" s="23"/>
    </row>
    <row r="44" spans="1:32" x14ac:dyDescent="0.2">
      <c r="A44" s="20">
        <v>42300.416666666664</v>
      </c>
      <c r="B44" s="26">
        <v>4</v>
      </c>
      <c r="C44" s="23">
        <v>4920</v>
      </c>
      <c r="D44" s="27">
        <f>-7.67571557256E-11</f>
        <v>-7.6757155725599997E-11</v>
      </c>
      <c r="E44" s="27">
        <f t="shared" si="39"/>
        <v>-4.596236869796407E-9</v>
      </c>
      <c r="F44" s="27">
        <f t="shared" si="50"/>
        <v>-9.1924737398603507E-9</v>
      </c>
      <c r="G44" s="27">
        <f>0.000000040150503389</f>
        <v>4.0150503388999997E-8</v>
      </c>
      <c r="H44" s="27">
        <f t="shared" si="40"/>
        <v>2.4042217598203591E-6</v>
      </c>
      <c r="I44" s="27">
        <f t="shared" si="51"/>
        <v>4.8084435197806624E-6</v>
      </c>
      <c r="J44" s="27">
        <f>-1.30081299071952E-07</f>
        <v>-1.3008129907195199E-7</v>
      </c>
      <c r="K44" s="27">
        <f t="shared" si="41"/>
        <v>-7.7892993456258673E-6</v>
      </c>
      <c r="L44" s="28">
        <f t="shared" si="52"/>
        <v>-7.984031829266514</v>
      </c>
      <c r="M44" s="27">
        <f t="shared" si="42"/>
        <v>-1.5578598691705131E-5</v>
      </c>
      <c r="N44" s="27">
        <f>1.86991869918684E-07</f>
        <v>1.8699186991868401E-7</v>
      </c>
      <c r="O44" s="27">
        <f t="shared" si="43"/>
        <v>1.1197117959202635E-5</v>
      </c>
      <c r="P44" s="28">
        <f t="shared" si="53"/>
        <v>11.477045908182701</v>
      </c>
      <c r="Q44" s="27">
        <f t="shared" si="44"/>
        <v>2.2394235919057028E-5</v>
      </c>
      <c r="R44" s="23">
        <f>-1.64102404643096E-08</f>
        <v>-1.64102404643096E-8</v>
      </c>
      <c r="S44" s="27">
        <f t="shared" si="45"/>
        <v>-9.8264912959937718E-7</v>
      </c>
      <c r="T44" s="27">
        <f t="shared" si="54"/>
        <v>-1.965298259255952E-6</v>
      </c>
      <c r="U44" s="27">
        <f>-0.000000092399590793</f>
        <v>-9.2399590793000003E-8</v>
      </c>
      <c r="V44" s="27">
        <f t="shared" si="46"/>
        <v>-5.5329096283233538E-6</v>
      </c>
      <c r="W44" s="27">
        <f t="shared" si="55"/>
        <v>-1.1065819256968765E-5</v>
      </c>
      <c r="X44" s="28">
        <f t="shared" si="47"/>
        <v>-1.4375000192399141</v>
      </c>
      <c r="Y44" s="27">
        <f>-1.78861787867514E-07</f>
        <v>-1.7886178786751399E-7</v>
      </c>
      <c r="Z44" s="27">
        <f t="shared" si="48"/>
        <v>-1.0710286698653532E-5</v>
      </c>
      <c r="AA44" s="27">
        <f t="shared" si="49"/>
        <v>-5.355143349326766E-6</v>
      </c>
      <c r="AB44" s="27">
        <f t="shared" si="56"/>
        <v>-1.0710286698965242E-5</v>
      </c>
      <c r="AC44" s="23"/>
      <c r="AD44" s="23"/>
    </row>
    <row r="45" spans="1:32" x14ac:dyDescent="0.2">
      <c r="A45" s="20">
        <v>42300.5</v>
      </c>
      <c r="B45" s="26">
        <v>6</v>
      </c>
      <c r="C45" s="23">
        <v>5040</v>
      </c>
      <c r="D45" s="27">
        <f>2.612279775683E-10</f>
        <v>2.6122797756830002E-10</v>
      </c>
      <c r="E45" s="27">
        <f t="shared" si="39"/>
        <v>1.5642393866365271E-8</v>
      </c>
      <c r="F45" s="27">
        <f t="shared" si="50"/>
        <v>3.128478773364105E-8</v>
      </c>
      <c r="G45" s="27">
        <f>0.000000130739667868</f>
        <v>1.30739667868E-7</v>
      </c>
      <c r="H45" s="27">
        <f t="shared" si="40"/>
        <v>7.8287226268263482E-6</v>
      </c>
      <c r="I45" s="27">
        <f t="shared" si="51"/>
        <v>1.5657445254108387E-5</v>
      </c>
      <c r="J45" s="27">
        <f>-1.3008130063338E-07</f>
        <v>-1.3008130063337999E-7</v>
      </c>
      <c r="K45" s="27">
        <f t="shared" si="41"/>
        <v>-7.7892994391245506E-6</v>
      </c>
      <c r="L45" s="28">
        <f t="shared" si="52"/>
        <v>-7.9840319251026646</v>
      </c>
      <c r="M45" s="27">
        <f t="shared" si="42"/>
        <v>-1.5578598878702498E-5</v>
      </c>
      <c r="N45" s="27">
        <f>1.86991869918699E-07</f>
        <v>1.8699186991869899E-7</v>
      </c>
      <c r="O45" s="27">
        <f t="shared" si="43"/>
        <v>1.1197117959203533E-5</v>
      </c>
      <c r="P45" s="28">
        <f t="shared" si="53"/>
        <v>11.477045908183623</v>
      </c>
      <c r="Q45" s="27">
        <f t="shared" si="44"/>
        <v>2.2394235919058824E-5</v>
      </c>
      <c r="R45" s="27">
        <f>-2.10586180890901E-08</f>
        <v>-2.1058618089090099E-8</v>
      </c>
      <c r="S45" s="27">
        <f t="shared" si="45"/>
        <v>-1.2609950951550957E-6</v>
      </c>
      <c r="T45" s="27">
        <f t="shared" si="54"/>
        <v>-2.5219901903835911E-6</v>
      </c>
      <c r="U45" s="27">
        <f>-0.000000130463767906</f>
        <v>-1.3046376790599999E-7</v>
      </c>
      <c r="V45" s="27">
        <f t="shared" si="46"/>
        <v>-7.8122016710179632E-6</v>
      </c>
      <c r="W45" s="27">
        <f t="shared" si="55"/>
        <v>-1.5624403342490658E-5</v>
      </c>
      <c r="X45" s="28">
        <f t="shared" si="47"/>
        <v>-1.4375000019850299</v>
      </c>
      <c r="Y45" s="27">
        <f>-1.78861788533402E-07</f>
        <v>-1.7886178853340201E-7</v>
      </c>
      <c r="Z45" s="27">
        <f t="shared" si="48"/>
        <v>-1.0710286738527066E-5</v>
      </c>
      <c r="AA45" s="27">
        <f t="shared" si="49"/>
        <v>-5.355143369263533E-6</v>
      </c>
      <c r="AB45" s="27">
        <f t="shared" si="56"/>
        <v>-1.0710286738838776E-5</v>
      </c>
      <c r="AC45" s="23"/>
      <c r="AD45" s="23"/>
    </row>
    <row r="46" spans="1:32" x14ac:dyDescent="0.2">
      <c r="A46" s="20">
        <v>42300.583333333336</v>
      </c>
      <c r="B46" s="26">
        <v>8</v>
      </c>
      <c r="C46" s="23">
        <v>5160</v>
      </c>
      <c r="D46" s="27">
        <f>4.206246718855E-10</f>
        <v>4.206246718855E-10</v>
      </c>
      <c r="E46" s="27">
        <f t="shared" si="39"/>
        <v>2.5187106100928145E-8</v>
      </c>
      <c r="F46" s="27">
        <f t="shared" si="50"/>
        <v>5.0374212198924126E-8</v>
      </c>
      <c r="G46" s="27">
        <f>1.7542919028798E-07</f>
        <v>1.7542919028798001E-7</v>
      </c>
      <c r="H46" s="27">
        <f t="shared" si="40"/>
        <v>1.0504741933411976E-5</v>
      </c>
      <c r="I46" s="27">
        <f t="shared" si="51"/>
        <v>2.1009483865601041E-5</v>
      </c>
      <c r="J46" s="27">
        <f>-1.30081290601333E-07</f>
        <v>-1.3008129060133299E-7</v>
      </c>
      <c r="K46" s="27">
        <f t="shared" si="41"/>
        <v>-7.7892988384031736E-6</v>
      </c>
      <c r="L46" s="28">
        <f t="shared" si="52"/>
        <v>-7.9840313093632522</v>
      </c>
      <c r="M46" s="27">
        <f t="shared" si="42"/>
        <v>-1.5578597675899554E-5</v>
      </c>
      <c r="N46" s="27">
        <f>1.86991869918464E-07</f>
        <v>1.8699186991846399E-7</v>
      </c>
      <c r="O46" s="27">
        <f t="shared" si="43"/>
        <v>1.119711795918946E-5</v>
      </c>
      <c r="P46" s="28">
        <f t="shared" si="53"/>
        <v>11.477045908169197</v>
      </c>
      <c r="Q46" s="27">
        <f t="shared" si="44"/>
        <v>2.2394235917075405E-5</v>
      </c>
      <c r="R46" s="27">
        <f>-2.3167446166363E-08</f>
        <v>-2.3167446166363E-8</v>
      </c>
      <c r="S46" s="27">
        <f t="shared" si="45"/>
        <v>-1.3872722255307186E-6</v>
      </c>
      <c r="T46" s="27">
        <f t="shared" si="54"/>
        <v>-2.7745444508999377E-6</v>
      </c>
      <c r="U46" s="27">
        <f>-1.4773308112185E-07</f>
        <v>-1.4773308112185E-7</v>
      </c>
      <c r="V46" s="27">
        <f t="shared" si="46"/>
        <v>-8.8462922827455085E-6</v>
      </c>
      <c r="W46" s="27">
        <f t="shared" si="55"/>
        <v>-1.7692584564461174E-5</v>
      </c>
      <c r="X46" s="28">
        <f t="shared" si="47"/>
        <v>-1.4375001128451887</v>
      </c>
      <c r="Y46" s="27">
        <f>-1.7886178450628E-07</f>
        <v>-1.7886178450628E-7</v>
      </c>
      <c r="Z46" s="27">
        <f t="shared" si="48"/>
        <v>-1.0710286497382036E-5</v>
      </c>
      <c r="AA46" s="27">
        <f t="shared" si="49"/>
        <v>-5.3551432486910179E-6</v>
      </c>
      <c r="AB46" s="27">
        <f t="shared" si="56"/>
        <v>-1.0710286496758614E-5</v>
      </c>
      <c r="AC46" s="23"/>
      <c r="AD46" s="23"/>
    </row>
    <row r="47" spans="1:32" x14ac:dyDescent="0.2">
      <c r="A47" s="20">
        <v>42300.666666666664</v>
      </c>
      <c r="B47" s="26">
        <v>10</v>
      </c>
      <c r="C47" s="23">
        <v>5280</v>
      </c>
      <c r="D47" s="27">
        <f>4.975130529176E-10</f>
        <v>4.9751305291760004E-10</v>
      </c>
      <c r="E47" s="27">
        <f t="shared" si="39"/>
        <v>2.9791200773508985E-8</v>
      </c>
      <c r="F47" s="27">
        <f t="shared" si="50"/>
        <v>5.2134601357108877E-8</v>
      </c>
      <c r="G47" s="27">
        <f>0.000000197474924307</f>
        <v>1.97474924307E-7</v>
      </c>
      <c r="H47" s="27">
        <f t="shared" si="40"/>
        <v>1.1824845766886228E-5</v>
      </c>
      <c r="I47" s="27">
        <f t="shared" si="51"/>
        <v>2.0693480093427493E-5</v>
      </c>
      <c r="J47" s="27">
        <f>-1.30072964290745E-07</f>
        <v>-1.3007296429074499E-7</v>
      </c>
      <c r="K47" s="27">
        <f t="shared" si="41"/>
        <v>-7.7888002569308383E-6</v>
      </c>
      <c r="L47" s="28">
        <f t="shared" si="52"/>
        <v>-7.9835202633541087</v>
      </c>
      <c r="M47" s="27">
        <f t="shared" si="42"/>
        <v>-1.3630400450535702E-5</v>
      </c>
      <c r="N47" s="27">
        <f>1.86991861585774E-07</f>
        <v>1.8699186158577401E-7</v>
      </c>
      <c r="O47" s="27">
        <f t="shared" si="43"/>
        <v>1.1197117460225989E-5</v>
      </c>
      <c r="P47" s="28">
        <f t="shared" si="53"/>
        <v>11.477045396731638</v>
      </c>
      <c r="Q47" s="27">
        <f t="shared" si="44"/>
        <v>1.9594955556698996E-5</v>
      </c>
      <c r="R47" s="27">
        <f>-2.41241520422429E-08</f>
        <v>-2.41241520422429E-8</v>
      </c>
      <c r="S47" s="27">
        <f t="shared" si="45"/>
        <v>-1.4445600025295151E-6</v>
      </c>
      <c r="T47" s="27">
        <f t="shared" si="54"/>
        <v>-2.5279800045948205E-6</v>
      </c>
      <c r="U47" s="27">
        <f>-0.000000155567603227</f>
        <v>-1.5556760322700001E-7</v>
      </c>
      <c r="V47" s="27">
        <f t="shared" si="46"/>
        <v>-9.3154253429341321E-6</v>
      </c>
      <c r="W47" s="27">
        <f t="shared" si="55"/>
        <v>-1.630199435121919E-5</v>
      </c>
      <c r="X47" s="28">
        <f t="shared" si="47"/>
        <v>-1.4375920669248476</v>
      </c>
      <c r="Y47" s="27">
        <f>-1.7885919498779E-07</f>
        <v>-1.7885919498779001E-7</v>
      </c>
      <c r="Z47" s="27">
        <f t="shared" si="48"/>
        <v>-1.0710131436394613E-5</v>
      </c>
      <c r="AA47" s="27">
        <f t="shared" si="49"/>
        <v>-5.3550657181973063E-6</v>
      </c>
      <c r="AB47" s="27">
        <f t="shared" si="56"/>
        <v>-9.3713650074686985E-6</v>
      </c>
      <c r="AC47" s="23"/>
      <c r="AD47" s="23"/>
    </row>
    <row r="48" spans="1:32" x14ac:dyDescent="0.2">
      <c r="A48" s="20">
        <v>42300.739583333336</v>
      </c>
      <c r="B48" s="26">
        <v>12</v>
      </c>
      <c r="C48" s="23">
        <v>5385</v>
      </c>
      <c r="D48" s="27">
        <f>3.381704600504E-10</f>
        <v>3.3817046005040003E-10</v>
      </c>
      <c r="E48" s="27">
        <f t="shared" si="39"/>
        <v>2.024972814673054E-8</v>
      </c>
      <c r="F48" s="27">
        <f t="shared" si="50"/>
        <v>8.6061344621247417E-8</v>
      </c>
      <c r="G48" s="27">
        <f>0.000000201328208455</f>
        <v>2.01328208455E-7</v>
      </c>
      <c r="H48" s="27">
        <f t="shared" si="40"/>
        <v>1.2055581344610779E-5</v>
      </c>
      <c r="I48" s="27">
        <f t="shared" si="51"/>
        <v>5.1236220713192354E-5</v>
      </c>
      <c r="J48" s="27">
        <f>1.93271060692757E-07</f>
        <v>1.93271060692757E-7</v>
      </c>
      <c r="K48" s="27">
        <f t="shared" si="41"/>
        <v>1.1573117406751917E-5</v>
      </c>
      <c r="L48" s="28">
        <f t="shared" si="52"/>
        <v>11.862445341920715</v>
      </c>
      <c r="M48" s="27">
        <f t="shared" si="42"/>
        <v>4.918574897734836E-5</v>
      </c>
      <c r="N48" s="27">
        <f>8.33518270625E-09</f>
        <v>8.3351827062499999E-9</v>
      </c>
      <c r="O48" s="27">
        <f t="shared" si="43"/>
        <v>4.9911273690119758E-7</v>
      </c>
      <c r="P48" s="28">
        <f t="shared" si="53"/>
        <v>0.51159055532372755</v>
      </c>
      <c r="Q48" s="27">
        <f t="shared" si="44"/>
        <v>2.1212291317719854E-6</v>
      </c>
      <c r="R48" s="27">
        <f>-2.21925717341592E-08</f>
        <v>-2.2192571734159201E-8</v>
      </c>
      <c r="S48" s="27">
        <f t="shared" si="45"/>
        <v>-1.3288965110274971E-6</v>
      </c>
      <c r="T48" s="27">
        <f t="shared" si="54"/>
        <v>-5.6478101717121583E-6</v>
      </c>
      <c r="U48" s="27">
        <f>-0.000000157318824107</f>
        <v>-1.5731882410700001E-7</v>
      </c>
      <c r="V48" s="27">
        <f t="shared" si="46"/>
        <v>-9.4202888686826358E-6</v>
      </c>
      <c r="W48" s="27">
        <f t="shared" si="55"/>
        <v>-4.0036227690804539E-5</v>
      </c>
      <c r="X48" s="28">
        <f t="shared" si="47"/>
        <v>4.3126905168179519E-2</v>
      </c>
      <c r="Y48" s="27">
        <f>-6.9757609536025E-08</f>
        <v>-6.9757609536024994E-8</v>
      </c>
      <c r="Z48" s="27">
        <f t="shared" si="48"/>
        <v>-4.1771023674266463E-6</v>
      </c>
      <c r="AA48" s="27">
        <f t="shared" si="49"/>
        <v>-2.0885511837133231E-6</v>
      </c>
      <c r="AB48" s="27">
        <f t="shared" si="56"/>
        <v>-8.8763425305384834E-6</v>
      </c>
      <c r="AC48" s="23"/>
      <c r="AD48" s="23"/>
    </row>
    <row r="49" spans="1:32" x14ac:dyDescent="0.2">
      <c r="A49" s="20">
        <v>42300.916666666664</v>
      </c>
      <c r="B49" s="26">
        <v>16</v>
      </c>
      <c r="C49" s="23">
        <v>5640</v>
      </c>
      <c r="D49" s="27">
        <f>-1.30280087535324E-09</f>
        <v>-1.30280087535324E-9</v>
      </c>
      <c r="E49" s="27">
        <f t="shared" si="39"/>
        <v>-7.8012028464265872E-8</v>
      </c>
      <c r="F49" s="27">
        <f t="shared" si="50"/>
        <v>-1.6122485883402035E-7</v>
      </c>
      <c r="G49" s="27">
        <v>-1.4390804900000001E-7</v>
      </c>
      <c r="H49" s="27">
        <f t="shared" si="40"/>
        <v>-8.6172484431137742E-6</v>
      </c>
      <c r="I49" s="27">
        <f t="shared" si="51"/>
        <v>-1.7808980116637891E-5</v>
      </c>
      <c r="J49" s="27">
        <f>2.76422764227642E-07</f>
        <v>2.7642276422764201E-7</v>
      </c>
      <c r="K49" s="27">
        <f t="shared" si="41"/>
        <v>1.6552261330996529E-5</v>
      </c>
      <c r="L49" s="28">
        <f t="shared" si="52"/>
        <v>16.966067864271441</v>
      </c>
      <c r="M49" s="27">
        <f t="shared" si="42"/>
        <v>3.420800675239617E-5</v>
      </c>
      <c r="N49" s="27">
        <f>-7.3170731707317E-08</f>
        <v>-7.3170731707316998E-8</v>
      </c>
      <c r="O49" s="27">
        <f t="shared" si="43"/>
        <v>-4.3814809405579044E-6</v>
      </c>
      <c r="P49" s="28">
        <f t="shared" si="53"/>
        <v>-4.4910179640718519</v>
      </c>
      <c r="Q49" s="27">
        <f t="shared" si="44"/>
        <v>-9.0550606109283981E-6</v>
      </c>
      <c r="R49" s="27">
        <f>3.52912972860307E-09</f>
        <v>3.5291297286030698E-9</v>
      </c>
      <c r="S49" s="27">
        <f t="shared" si="45"/>
        <v>2.1132513344928563E-7</v>
      </c>
      <c r="T49" s="27">
        <f t="shared" si="54"/>
        <v>4.3673860914984491E-7</v>
      </c>
      <c r="U49" s="27">
        <v>1.2470834E-8</v>
      </c>
      <c r="V49" s="27">
        <f t="shared" si="46"/>
        <v>7.4675652694610779E-7</v>
      </c>
      <c r="W49" s="27">
        <f t="shared" si="55"/>
        <v>1.5432968224306322E-6</v>
      </c>
      <c r="X49" s="28">
        <f t="shared" si="47"/>
        <v>-0.26470588235294118</v>
      </c>
      <c r="Y49" s="27">
        <f>-1.6260162601626E-08</f>
        <v>-1.6260162601625999E-8</v>
      </c>
      <c r="Z49" s="27">
        <f t="shared" si="48"/>
        <v>-9.7366243123508984E-7</v>
      </c>
      <c r="AA49" s="27">
        <f t="shared" si="49"/>
        <v>-4.8683121561754492E-7</v>
      </c>
      <c r="AB49" s="27">
        <f t="shared" si="56"/>
        <v>-1.0061178456587109E-6</v>
      </c>
      <c r="AC49" s="23"/>
      <c r="AD49" s="23"/>
    </row>
    <row r="50" spans="1:32" x14ac:dyDescent="0.2">
      <c r="A50" s="20">
        <v>42301.00277777778</v>
      </c>
      <c r="B50" s="26">
        <v>18</v>
      </c>
      <c r="C50" s="23">
        <v>5764</v>
      </c>
      <c r="D50" s="27">
        <f>-1.59666035093746E-09</f>
        <v>-1.59666035093746E-9</v>
      </c>
      <c r="E50" s="27">
        <f t="shared" si="39"/>
        <v>-9.5608404247752096E-8</v>
      </c>
      <c r="F50" s="27">
        <f t="shared" si="50"/>
        <v>-1.9121680848437391E-7</v>
      </c>
      <c r="G50" s="27">
        <v>-2.0743347099999999E-7</v>
      </c>
      <c r="H50" s="27">
        <f t="shared" si="40"/>
        <v>-1.2421165928143713E-5</v>
      </c>
      <c r="I50" s="27">
        <f t="shared" si="51"/>
        <v>-2.4842331854841411E-5</v>
      </c>
      <c r="J50" s="27">
        <f>2.76422764227642E-07</f>
        <v>2.7642276422764201E-7</v>
      </c>
      <c r="K50" s="27">
        <f t="shared" si="41"/>
        <v>1.6552261330996529E-5</v>
      </c>
      <c r="L50" s="28">
        <f t="shared" si="52"/>
        <v>16.966067864271441</v>
      </c>
      <c r="M50" s="27">
        <f t="shared" si="42"/>
        <v>3.3104522660066119E-5</v>
      </c>
      <c r="N50" s="27">
        <f>-7.3170731707317E-08</f>
        <v>-7.3170731707316998E-8</v>
      </c>
      <c r="O50" s="27">
        <f t="shared" si="43"/>
        <v>-4.3814809405579044E-6</v>
      </c>
      <c r="P50" s="28">
        <f t="shared" si="53"/>
        <v>-4.4910179640718519</v>
      </c>
      <c r="Q50" s="27">
        <f t="shared" si="44"/>
        <v>-8.7629618806057374E-6</v>
      </c>
      <c r="R50" s="27">
        <f>7.00159820129708E-09</f>
        <v>7.0015982012970801E-9</v>
      </c>
      <c r="S50" s="27">
        <f t="shared" si="45"/>
        <v>4.1925737732317846E-7</v>
      </c>
      <c r="T50" s="27">
        <f t="shared" si="54"/>
        <v>8.3851475459754897E-7</v>
      </c>
      <c r="U50" s="27">
        <v>4.0907001999999998E-8</v>
      </c>
      <c r="V50" s="27">
        <f t="shared" si="46"/>
        <v>2.4495210778443111E-6</v>
      </c>
      <c r="W50" s="27">
        <f t="shared" si="55"/>
        <v>4.8990421554034602E-6</v>
      </c>
      <c r="X50" s="28">
        <f t="shared" si="47"/>
        <v>-0.26470588235294118</v>
      </c>
      <c r="Y50" s="27">
        <f>-1.6260162601626E-08</f>
        <v>-1.6260162601625999E-8</v>
      </c>
      <c r="Z50" s="27">
        <f t="shared" si="48"/>
        <v>-9.7366243123508984E-7</v>
      </c>
      <c r="AA50" s="27">
        <f t="shared" si="49"/>
        <v>-4.8683121561754492E-7</v>
      </c>
      <c r="AB50" s="27">
        <f t="shared" si="56"/>
        <v>-9.7366243117841529E-7</v>
      </c>
      <c r="AC50" s="23"/>
      <c r="AD50" s="23"/>
    </row>
    <row r="51" spans="1:32" x14ac:dyDescent="0.2">
      <c r="A51" s="20">
        <v>42301.086111111108</v>
      </c>
      <c r="B51" s="26">
        <v>20</v>
      </c>
      <c r="C51" s="23">
        <v>5884</v>
      </c>
      <c r="D51" s="27">
        <f>-1.73925286974427E-09</f>
        <v>-1.73925286974427E-9</v>
      </c>
      <c r="E51" s="27">
        <f t="shared" si="39"/>
        <v>-1.041468784278006E-7</v>
      </c>
      <c r="F51" s="27">
        <f t="shared" si="50"/>
        <v>-2.0135063162869774E-7</v>
      </c>
      <c r="G51" s="27">
        <v>-2.37340677E-7</v>
      </c>
      <c r="H51" s="27">
        <f t="shared" si="40"/>
        <v>-1.4212016586826348E-5</v>
      </c>
      <c r="I51" s="27">
        <f t="shared" si="51"/>
        <v>-2.7476565401418205E-5</v>
      </c>
      <c r="J51" s="27">
        <f>2.76422764227642E-07</f>
        <v>2.7642276422764201E-7</v>
      </c>
      <c r="K51" s="27">
        <f t="shared" si="41"/>
        <v>1.6552261330996529E-5</v>
      </c>
      <c r="L51" s="28">
        <f t="shared" si="52"/>
        <v>16.966067864271441</v>
      </c>
      <c r="M51" s="27">
        <f t="shared" si="42"/>
        <v>3.2001038573516879E-5</v>
      </c>
      <c r="N51" s="27">
        <f>-7.3170731707317E-08</f>
        <v>-7.3170731707316998E-8</v>
      </c>
      <c r="O51" s="27">
        <f t="shared" si="43"/>
        <v>-4.3814809405579044E-6</v>
      </c>
      <c r="P51" s="28">
        <f t="shared" si="53"/>
        <v>-4.4910179640718519</v>
      </c>
      <c r="Q51" s="27">
        <f t="shared" si="44"/>
        <v>-8.4708631518132909E-6</v>
      </c>
      <c r="R51" s="27">
        <f>8.5035509738733E-09</f>
        <v>8.5035509738733006E-9</v>
      </c>
      <c r="S51" s="27">
        <f t="shared" si="45"/>
        <v>5.0919466909420962E-7</v>
      </c>
      <c r="T51" s="27">
        <f t="shared" si="54"/>
        <v>9.8444302692337567E-7</v>
      </c>
      <c r="U51" s="27">
        <v>5.320658E-8</v>
      </c>
      <c r="V51" s="27">
        <f t="shared" si="46"/>
        <v>3.186022754491018E-6</v>
      </c>
      <c r="W51" s="27">
        <f t="shared" si="55"/>
        <v>6.1596439920654221E-6</v>
      </c>
      <c r="X51" s="28">
        <f t="shared" si="47"/>
        <v>-0.26470588235294118</v>
      </c>
      <c r="Y51" s="27">
        <f>-1.6260162601626E-08</f>
        <v>-1.6260162601625999E-8</v>
      </c>
      <c r="Z51" s="27">
        <f t="shared" si="48"/>
        <v>-9.7366243123508984E-7</v>
      </c>
      <c r="AA51" s="27">
        <f t="shared" si="49"/>
        <v>-4.8683121561754492E-7</v>
      </c>
      <c r="AB51" s="27">
        <f t="shared" si="56"/>
        <v>-9.4120701686814347E-7</v>
      </c>
      <c r="AC51" s="23"/>
      <c r="AD51" s="23"/>
    </row>
    <row r="52" spans="1:32" x14ac:dyDescent="0.2">
      <c r="A52" s="20">
        <v>42301.166666666664</v>
      </c>
      <c r="B52" s="26">
        <v>22</v>
      </c>
      <c r="C52" s="23">
        <v>6000</v>
      </c>
      <c r="D52" s="23">
        <f>-1.80886102770355E-09</f>
        <v>-1.8088610277035501E-9</v>
      </c>
      <c r="E52" s="27">
        <f t="shared" si="39"/>
        <v>-1.0831503159901498E-7</v>
      </c>
      <c r="F52" s="27">
        <f t="shared" si="50"/>
        <v>-2.1663006320433473E-7</v>
      </c>
      <c r="G52" s="23">
        <v>-2.5174066899999999E-7</v>
      </c>
      <c r="H52" s="27">
        <f t="shared" si="40"/>
        <v>-1.5074291556886227E-5</v>
      </c>
      <c r="I52" s="27">
        <f t="shared" si="51"/>
        <v>-3.0148583114649892E-5</v>
      </c>
      <c r="J52" s="23">
        <f>2.76422764227642E-07</f>
        <v>2.7642276422764201E-7</v>
      </c>
      <c r="K52" s="27">
        <f t="shared" si="41"/>
        <v>1.6552261330996529E-5</v>
      </c>
      <c r="L52" s="28">
        <f t="shared" si="52"/>
        <v>16.966067864271441</v>
      </c>
      <c r="M52" s="27">
        <f t="shared" si="42"/>
        <v>3.3104522662956528E-5</v>
      </c>
      <c r="N52" s="23">
        <f>-7.3170731707317E-08</f>
        <v>-7.3170731707316998E-8</v>
      </c>
      <c r="O52" s="27">
        <f t="shared" si="43"/>
        <v>-4.3814809405579044E-6</v>
      </c>
      <c r="P52" s="28">
        <f t="shared" si="53"/>
        <v>-4.4910179640718519</v>
      </c>
      <c r="Q52" s="27">
        <f t="shared" si="44"/>
        <v>-8.7629618813708453E-6</v>
      </c>
      <c r="R52" s="23">
        <f>9.16983241393635E-09</f>
        <v>9.1698324139363504E-9</v>
      </c>
      <c r="S52" s="27">
        <f t="shared" si="45"/>
        <v>5.4909176131355395E-7</v>
      </c>
      <c r="T52" s="27">
        <f t="shared" si="54"/>
        <v>1.0981835226590692E-6</v>
      </c>
      <c r="U52" s="23">
        <v>5.8662798000000002E-8</v>
      </c>
      <c r="V52" s="27">
        <f t="shared" si="46"/>
        <v>3.5127423952095809E-6</v>
      </c>
      <c r="W52" s="27">
        <f t="shared" si="55"/>
        <v>7.0254847906236305E-6</v>
      </c>
      <c r="X52" s="28">
        <f t="shared" si="47"/>
        <v>-0.26470588235294118</v>
      </c>
      <c r="Y52" s="23">
        <f>-1.6260162601626E-08</f>
        <v>-1.6260162601625999E-8</v>
      </c>
      <c r="Z52" s="27">
        <f t="shared" si="48"/>
        <v>-9.7366243123508984E-7</v>
      </c>
      <c r="AA52" s="27">
        <f t="shared" si="49"/>
        <v>-4.8683121561754492E-7</v>
      </c>
      <c r="AB52" s="27">
        <f t="shared" si="56"/>
        <v>-9.7366243126342712E-7</v>
      </c>
      <c r="AC52" s="23"/>
      <c r="AD52" s="23"/>
    </row>
    <row r="53" spans="1:32" x14ac:dyDescent="0.2">
      <c r="A53" s="20">
        <v>42301.25</v>
      </c>
      <c r="B53" s="26">
        <v>24</v>
      </c>
      <c r="C53" s="23">
        <v>6120</v>
      </c>
      <c r="D53" s="23">
        <f>-1.8017481417393E-09</f>
        <v>-1.8017481417393E-9</v>
      </c>
      <c r="E53" s="27">
        <f t="shared" si="39"/>
        <v>-1.0788911028379042E-7</v>
      </c>
      <c r="F53" s="27">
        <f t="shared" si="50"/>
        <v>-2.6972277570319608E-7</v>
      </c>
      <c r="G53" s="23">
        <v>-2.5884213200000001E-7</v>
      </c>
      <c r="H53" s="27">
        <f t="shared" si="40"/>
        <v>-1.549952886227545E-5</v>
      </c>
      <c r="I53" s="27">
        <f t="shared" si="51"/>
        <v>-3.8748822154786432E-5</v>
      </c>
      <c r="J53" s="27">
        <f>1.84803661145578E-07</f>
        <v>1.84803661145578E-7</v>
      </c>
      <c r="K53" s="27">
        <f t="shared" si="41"/>
        <v>1.1066087493747186E-5</v>
      </c>
      <c r="L53" s="28">
        <f t="shared" si="52"/>
        <v>11.342739681090865</v>
      </c>
      <c r="M53" s="27">
        <f t="shared" si="42"/>
        <v>2.7665218733723832E-5</v>
      </c>
      <c r="N53" s="27">
        <f>1.6254119837689E-08</f>
        <v>1.6254119837688999E-8</v>
      </c>
      <c r="O53" s="27">
        <f t="shared" si="43"/>
        <v>9.7330058908317353E-7</v>
      </c>
      <c r="P53" s="28">
        <f t="shared" si="53"/>
        <v>0.99763310381025283</v>
      </c>
      <c r="Q53" s="27">
        <f t="shared" si="44"/>
        <v>2.4332514726512805E-6</v>
      </c>
      <c r="R53" s="23">
        <f>8.51888041269641E-09</f>
        <v>8.5188804126964101E-9</v>
      </c>
      <c r="S53" s="27">
        <f t="shared" si="45"/>
        <v>5.1011259956265928E-7</v>
      </c>
      <c r="T53" s="27">
        <f t="shared" si="54"/>
        <v>1.2752814988769558E-6</v>
      </c>
      <c r="U53" s="23">
        <v>6.1015487E-8</v>
      </c>
      <c r="V53" s="27">
        <f t="shared" si="46"/>
        <v>3.6536219760479045E-6</v>
      </c>
      <c r="W53" s="27">
        <f t="shared" si="55"/>
        <v>9.1340549399070931E-6</v>
      </c>
      <c r="X53" s="28">
        <f t="shared" si="47"/>
        <v>8.7953451446424052E-2</v>
      </c>
      <c r="Y53" s="27">
        <f>-7.4245088362121E-08</f>
        <v>-7.4245088362121E-8</v>
      </c>
      <c r="Z53" s="27">
        <f t="shared" si="48"/>
        <v>-4.4458136743785027E-6</v>
      </c>
      <c r="AA53" s="27">
        <f t="shared" si="49"/>
        <v>-2.2229068371892514E-6</v>
      </c>
      <c r="AB53" s="27">
        <f t="shared" si="56"/>
        <v>-5.5572670928437386E-6</v>
      </c>
      <c r="AC53" s="23"/>
      <c r="AD53" s="23"/>
    </row>
    <row r="54" spans="1:32" x14ac:dyDescent="0.2">
      <c r="A54" s="20">
        <v>42301.354166666664</v>
      </c>
      <c r="B54" s="26">
        <v>26.5</v>
      </c>
      <c r="C54" s="23">
        <v>6270</v>
      </c>
      <c r="D54" s="23">
        <f>-5.7753761375024E-10</f>
        <v>-5.7753761375023998E-10</v>
      </c>
      <c r="E54" s="27">
        <f t="shared" si="39"/>
        <v>-3.4583090643726943E-8</v>
      </c>
      <c r="F54" s="23"/>
      <c r="G54" s="23">
        <v>-8.4108439000000005E-8</v>
      </c>
      <c r="H54" s="27">
        <f t="shared" si="40"/>
        <v>-5.0364334730538928E-6</v>
      </c>
      <c r="I54" s="23"/>
      <c r="J54" s="27">
        <f>-1.30080653305188E-07</f>
        <v>-1.3008065330518801E-7</v>
      </c>
      <c r="K54" s="27">
        <f t="shared" si="41"/>
        <v>-7.7892606769573651E-6</v>
      </c>
      <c r="L54" s="28">
        <f t="shared" si="52"/>
        <v>-7.9839921938812992</v>
      </c>
      <c r="M54" s="23"/>
      <c r="N54" s="27">
        <f>1.86991869764947E-07</f>
        <v>1.86991869764947E-7</v>
      </c>
      <c r="O54" s="27">
        <f t="shared" si="43"/>
        <v>1.1197117949996827E-5</v>
      </c>
      <c r="P54" s="28">
        <f t="shared" si="53"/>
        <v>11.477045898746749</v>
      </c>
      <c r="Q54" s="23"/>
      <c r="R54" s="23">
        <f>-9.52997436535129E-09</f>
        <v>-9.5299743653512902E-9</v>
      </c>
      <c r="S54" s="27">
        <f t="shared" si="45"/>
        <v>-5.7065714762582582E-7</v>
      </c>
      <c r="T54" s="23"/>
      <c r="U54" s="23">
        <v>-3.6269619999999998E-8</v>
      </c>
      <c r="V54" s="27">
        <f t="shared" si="46"/>
        <v>-2.1718335329341319E-6</v>
      </c>
      <c r="W54" s="23"/>
      <c r="X54" s="28">
        <f t="shared" si="47"/>
        <v>-1.4375071543209204</v>
      </c>
      <c r="Y54" s="27">
        <f>-1.78861566365468E-07</f>
        <v>-1.78861566365468E-7</v>
      </c>
      <c r="Z54" s="27">
        <f t="shared" si="48"/>
        <v>-1.0710273435057964E-5</v>
      </c>
      <c r="AA54" s="27">
        <f t="shared" si="49"/>
        <v>-5.3551367175289821E-6</v>
      </c>
      <c r="AB54" s="23"/>
      <c r="AC54" s="23"/>
      <c r="AD54" s="23"/>
    </row>
    <row r="55" spans="1:32" x14ac:dyDescent="0.2">
      <c r="A55" s="20"/>
      <c r="B55" s="26"/>
      <c r="C55" s="23"/>
      <c r="D55" s="23"/>
      <c r="E55" s="27"/>
      <c r="F55" s="23"/>
      <c r="G55" s="23"/>
      <c r="H55" s="27"/>
      <c r="I55" s="23"/>
      <c r="J55" s="27"/>
      <c r="K55" s="27"/>
      <c r="L55" s="23"/>
      <c r="M55" s="27"/>
      <c r="N55" s="27"/>
      <c r="O55" s="23"/>
      <c r="P55" s="23"/>
      <c r="Q55" s="27"/>
      <c r="R55" s="23"/>
      <c r="S55" s="23"/>
      <c r="T55" s="27"/>
      <c r="U55" s="23"/>
      <c r="V55" s="28"/>
      <c r="W55" s="23"/>
      <c r="X55" s="27"/>
      <c r="Y55" s="27"/>
      <c r="Z55" s="23"/>
      <c r="AA55" s="23"/>
      <c r="AB55" s="23"/>
    </row>
    <row r="56" spans="1:32" x14ac:dyDescent="0.2">
      <c r="A56" s="10" t="s">
        <v>86</v>
      </c>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row>
    <row r="57" spans="1:32" x14ac:dyDescent="0.2">
      <c r="A57" s="23" t="s">
        <v>99</v>
      </c>
      <c r="B57" s="23" t="s">
        <v>100</v>
      </c>
      <c r="C57" s="23" t="s">
        <v>101</v>
      </c>
      <c r="D57" s="23" t="s">
        <v>102</v>
      </c>
      <c r="E57" s="23" t="s">
        <v>103</v>
      </c>
      <c r="F57" s="23" t="s">
        <v>104</v>
      </c>
      <c r="G57" s="23" t="s">
        <v>105</v>
      </c>
      <c r="H57" s="23" t="s">
        <v>106</v>
      </c>
      <c r="I57" s="23" t="s">
        <v>107</v>
      </c>
      <c r="J57" s="23" t="s">
        <v>108</v>
      </c>
      <c r="K57" s="23" t="s">
        <v>109</v>
      </c>
      <c r="L57" s="23" t="s">
        <v>315</v>
      </c>
      <c r="M57" s="24" t="s">
        <v>110</v>
      </c>
      <c r="N57" s="23" t="s">
        <v>111</v>
      </c>
      <c r="O57" s="23" t="s">
        <v>112</v>
      </c>
      <c r="P57" s="23" t="s">
        <v>315</v>
      </c>
      <c r="Q57" s="23" t="s">
        <v>113</v>
      </c>
      <c r="R57" s="23" t="s">
        <v>114</v>
      </c>
      <c r="S57" s="23" t="s">
        <v>115</v>
      </c>
      <c r="T57" s="23" t="s">
        <v>116</v>
      </c>
      <c r="U57" s="23" t="s">
        <v>117</v>
      </c>
      <c r="V57" s="23" t="s">
        <v>118</v>
      </c>
      <c r="W57" s="23" t="s">
        <v>119</v>
      </c>
      <c r="X57" s="23" t="s">
        <v>125</v>
      </c>
      <c r="Y57" s="23" t="s">
        <v>120</v>
      </c>
      <c r="Z57" s="23" t="s">
        <v>121</v>
      </c>
      <c r="AA57" s="23" t="s">
        <v>122</v>
      </c>
      <c r="AB57" s="23" t="s">
        <v>123</v>
      </c>
      <c r="AC57" s="23"/>
      <c r="AD57" s="23" t="s">
        <v>124</v>
      </c>
      <c r="AE57" s="23" t="s">
        <v>409</v>
      </c>
      <c r="AF57" s="23" t="s">
        <v>410</v>
      </c>
    </row>
    <row r="58" spans="1:32" x14ac:dyDescent="0.2">
      <c r="A58" s="25">
        <v>42817.4375</v>
      </c>
      <c r="B58" s="26">
        <v>0</v>
      </c>
      <c r="C58" s="23">
        <v>4950</v>
      </c>
      <c r="D58" s="27">
        <f>2.499970299777E-09</f>
        <v>2.4999702997770001E-9</v>
      </c>
      <c r="E58" s="27">
        <f>D58/0.0167</f>
        <v>1.4969882034592815E-7</v>
      </c>
      <c r="F58" s="27">
        <f>($A59-$A58)*24*E58</f>
        <v>2.2454823051889225E-7</v>
      </c>
      <c r="G58" s="27">
        <f>0.00000008160416563</f>
        <v>8.1604165629999995E-8</v>
      </c>
      <c r="H58" s="27">
        <f>G58/0.0167</f>
        <v>4.886476983832335E-6</v>
      </c>
      <c r="I58" s="27">
        <f>($A59-$A58)*24*H58</f>
        <v>7.3297154757485025E-6</v>
      </c>
      <c r="J58" s="27">
        <f>-4.39002407141468E-07</f>
        <v>-4.39002407141468E-7</v>
      </c>
      <c r="K58" s="27">
        <f>J58/0.0167</f>
        <v>-2.6287569289908265E-5</v>
      </c>
      <c r="L58" s="28">
        <f>K58*1000*1025</f>
        <v>-26.944758522155972</v>
      </c>
      <c r="M58" s="27">
        <f t="shared" ref="M58:M69" si="57">($A59-$A58)*24*K58</f>
        <v>-3.9431353934862398E-5</v>
      </c>
      <c r="N58" s="27">
        <f>4.71515623125072E-07</f>
        <v>4.7151562312507202E-7</v>
      </c>
      <c r="O58" s="27">
        <f>N58/0.0167</f>
        <v>2.8234468450603115E-5</v>
      </c>
      <c r="P58" s="28">
        <f>O58*1000*1025</f>
        <v>28.940330161868193</v>
      </c>
      <c r="Q58" s="27">
        <f t="shared" ref="Q58:Q69" si="58">($A59-$A58)*24*O58</f>
        <v>4.2351702675904674E-5</v>
      </c>
      <c r="R58" s="27">
        <f>-1.36385161478411E-07</f>
        <v>-1.36385161478411E-7</v>
      </c>
      <c r="S58" s="27">
        <f>R58/0.0167</f>
        <v>-8.1667761364317972E-6</v>
      </c>
      <c r="T58" s="27">
        <f>($A59-$A58)*24*S58</f>
        <v>-1.2250164204647695E-5</v>
      </c>
      <c r="U58" s="27">
        <f>-0.000000071155642919</f>
        <v>-7.1155642918999994E-8</v>
      </c>
      <c r="V58" s="27">
        <f>U58/0.0167</f>
        <v>-4.2608169412574848E-6</v>
      </c>
      <c r="W58" s="27">
        <f>($A59-$A58)*24*V58</f>
        <v>-6.3912254118862276E-6</v>
      </c>
      <c r="X58" s="28">
        <f t="shared" ref="X58:X70" si="59">O58/K58</f>
        <v>-1.0740615893095242</v>
      </c>
      <c r="Y58" s="27">
        <f>-3.1865547136394E-07</f>
        <v>-3.1865547136393999E-7</v>
      </c>
      <c r="Z58" s="27">
        <f>Y58/0.0167</f>
        <v>-1.9081165949936527E-5</v>
      </c>
      <c r="AA58" s="27">
        <f>Z58/2</f>
        <v>-9.5405829749682637E-6</v>
      </c>
      <c r="AB58" s="27">
        <f>($A59-$A58)*24*AA58</f>
        <v>-1.4310874462452396E-5</v>
      </c>
      <c r="AC58" s="23"/>
      <c r="AD58" s="23">
        <f>SLOPE(O59:O69,K59:K69)</f>
        <v>-1.0222957100500099</v>
      </c>
      <c r="AE58" s="51">
        <f>SUM(M59:M69)/0.001*1025</f>
        <v>-49.262044950954845</v>
      </c>
      <c r="AF58" s="51">
        <f>SUM(AB59:AB69)/0.001*1025</f>
        <v>-73.773417132632389</v>
      </c>
    </row>
    <row r="59" spans="1:32" x14ac:dyDescent="0.2">
      <c r="A59" s="25">
        <v>42817.5</v>
      </c>
      <c r="B59" s="26">
        <v>2</v>
      </c>
      <c r="C59" s="23">
        <v>5040</v>
      </c>
      <c r="D59" s="27">
        <f>5.287874107793E-09</f>
        <v>5.2878741077930004E-9</v>
      </c>
      <c r="E59" s="27">
        <f t="shared" ref="E59:E70" si="60">D59/0.0167</f>
        <v>3.1663916813131738E-7</v>
      </c>
      <c r="F59" s="27">
        <f t="shared" ref="F59:F69" si="61">($A60-$A59)*24*E59</f>
        <v>6.3327833628106556E-7</v>
      </c>
      <c r="G59" s="27">
        <f>0.00000021996420203</f>
        <v>2.1996420202999999E-7</v>
      </c>
      <c r="H59" s="27">
        <f t="shared" ref="H59:H70" si="62">G59/0.0167</f>
        <v>1.3171509103592814E-5</v>
      </c>
      <c r="I59" s="27">
        <f t="shared" ref="I59:I69" si="63">($A60-$A59)*24*H59</f>
        <v>2.6343018207952312E-5</v>
      </c>
      <c r="J59" s="27">
        <f>-4.39020004817022E-07</f>
        <v>-4.3902000481702203E-7</v>
      </c>
      <c r="K59" s="27">
        <f t="shared" ref="K59:K70" si="64">J59/0.0167</f>
        <v>-2.628862304293545E-5</v>
      </c>
      <c r="L59" s="28">
        <f t="shared" ref="L59:L70" si="65">K59*1000*1025</f>
        <v>-26.945838619008835</v>
      </c>
      <c r="M59" s="27">
        <f t="shared" si="57"/>
        <v>-5.2577246087401103E-5</v>
      </c>
      <c r="N59" s="27">
        <f>4.7153869007551E-07</f>
        <v>4.7153869007550998E-7</v>
      </c>
      <c r="O59" s="27">
        <f>N59/0.0167</f>
        <v>2.8235849705120358E-5</v>
      </c>
      <c r="P59" s="28">
        <f t="shared" ref="P59:P70" si="66">O59*1000*1025</f>
        <v>28.941745947748366</v>
      </c>
      <c r="Q59" s="27">
        <f t="shared" si="58"/>
        <v>5.6471699411884259E-5</v>
      </c>
      <c r="R59" s="27">
        <f>-1.88534748338678E-07</f>
        <v>-1.88534748338678E-7</v>
      </c>
      <c r="S59" s="27">
        <f t="shared" ref="S59:S70" si="67">R59/0.0167</f>
        <v>-1.1289505888543592E-5</v>
      </c>
      <c r="T59" s="27">
        <f t="shared" ref="T59:T68" si="68">($A60-$A59)*24*S59</f>
        <v>-2.2579011777744319E-5</v>
      </c>
      <c r="U59" s="27">
        <f>-0.000000134239880747</f>
        <v>-1.34239880747E-7</v>
      </c>
      <c r="V59" s="27">
        <f t="shared" ref="V59:V70" si="69">U59/0.0167</f>
        <v>-8.03831621239521E-6</v>
      </c>
      <c r="W59" s="27">
        <f t="shared" ref="W59:W68" si="70">($A60-$A59)*24*V59</f>
        <v>-1.6076632425258311E-5</v>
      </c>
      <c r="X59" s="28">
        <f t="shared" si="59"/>
        <v>-1.0740710785424035</v>
      </c>
      <c r="Y59" s="27">
        <f>-3.18687296897392E-07</f>
        <v>-3.1868729689739201E-7</v>
      </c>
      <c r="Z59" s="27">
        <f t="shared" ref="Z59:Z69" si="71">Y59/0.0167</f>
        <v>-1.9083071670502517E-5</v>
      </c>
      <c r="AA59" s="27">
        <f t="shared" ref="AA59:AA69" si="72">Z59/2</f>
        <v>-9.5415358352512585E-6</v>
      </c>
      <c r="AB59" s="27">
        <f t="shared" ref="AB59:AB68" si="73">($A60-$A59)*24*AA59</f>
        <v>-1.9083071671057906E-5</v>
      </c>
      <c r="AC59" s="23"/>
      <c r="AD59" s="23"/>
    </row>
    <row r="60" spans="1:32" x14ac:dyDescent="0.2">
      <c r="A60" s="25">
        <v>42817.583333333336</v>
      </c>
      <c r="B60" s="26">
        <v>4</v>
      </c>
      <c r="C60" s="23">
        <v>5160</v>
      </c>
      <c r="D60" s="27">
        <f>7.526287274369E-09</f>
        <v>7.5262872743689994E-9</v>
      </c>
      <c r="E60" s="27">
        <f t="shared" si="60"/>
        <v>4.5067588469275448E-7</v>
      </c>
      <c r="F60" s="27">
        <f t="shared" si="61"/>
        <v>9.0135176941174178E-7</v>
      </c>
      <c r="G60" s="27">
        <v>3.4787594799999998E-7</v>
      </c>
      <c r="H60" s="27">
        <f t="shared" si="62"/>
        <v>2.083089508982036E-5</v>
      </c>
      <c r="I60" s="27">
        <f t="shared" si="63"/>
        <v>4.1661790180853238E-5</v>
      </c>
      <c r="J60" s="27">
        <f>-4.38991921873073E-07</f>
        <v>-4.3899192187307299E-7</v>
      </c>
      <c r="K60" s="27">
        <f t="shared" si="64"/>
        <v>-2.6286941429525328E-5</v>
      </c>
      <c r="L60" s="28">
        <f t="shared" si="65"/>
        <v>-26.944114965263463</v>
      </c>
      <c r="M60" s="27">
        <f t="shared" si="57"/>
        <v>-5.2573882860580757E-5</v>
      </c>
      <c r="N60" s="27">
        <f>4.71502135011956E-07</f>
        <v>4.71502135011956E-7</v>
      </c>
      <c r="O60" s="27">
        <f>N60/0.0167</f>
        <v>2.8233660779159043E-5</v>
      </c>
      <c r="P60" s="28">
        <f t="shared" si="66"/>
        <v>28.939502298638018</v>
      </c>
      <c r="Q60" s="27">
        <f t="shared" si="58"/>
        <v>5.6467321559961499E-5</v>
      </c>
      <c r="R60" s="27">
        <f>-2.23849249335038E-07</f>
        <v>-2.2384924933503799E-7</v>
      </c>
      <c r="S60" s="27">
        <f t="shared" si="67"/>
        <v>-1.3404146666768742E-5</v>
      </c>
      <c r="T60" s="27">
        <f t="shared" si="68"/>
        <v>-2.6808293334317707E-5</v>
      </c>
      <c r="U60" s="27">
        <v>-1.77807949E-7</v>
      </c>
      <c r="V60" s="27">
        <f t="shared" si="69"/>
        <v>-1.06471825748503E-5</v>
      </c>
      <c r="W60" s="27">
        <f t="shared" si="70"/>
        <v>-2.1294365150320347E-5</v>
      </c>
      <c r="X60" s="28">
        <f t="shared" si="59"/>
        <v>-1.074056517942676</v>
      </c>
      <c r="Y60" s="27">
        <f>-3.18639285245665E-07</f>
        <v>-3.1863928524566502E-7</v>
      </c>
      <c r="Z60" s="27">
        <f t="shared" si="71"/>
        <v>-1.9080196721297306E-5</v>
      </c>
      <c r="AA60" s="27">
        <f t="shared" si="72"/>
        <v>-9.5400983606486531E-6</v>
      </c>
      <c r="AB60" s="27">
        <f t="shared" si="73"/>
        <v>-1.9080196721852614E-5</v>
      </c>
      <c r="AC60" s="23"/>
      <c r="AD60" s="23"/>
    </row>
    <row r="61" spans="1:32" x14ac:dyDescent="0.2">
      <c r="A61" s="25">
        <v>42817.666666666672</v>
      </c>
      <c r="B61" s="26">
        <v>6</v>
      </c>
      <c r="C61" s="23">
        <v>5280</v>
      </c>
      <c r="D61" s="27">
        <f>8.485373860899E-09</f>
        <v>8.485373860899E-9</v>
      </c>
      <c r="E61" s="27">
        <f t="shared" si="60"/>
        <v>5.0810621921550896E-7</v>
      </c>
      <c r="F61" s="27">
        <f t="shared" si="61"/>
        <v>1.0162124384605936E-6</v>
      </c>
      <c r="G61" s="27">
        <v>4.2943016999999998E-7</v>
      </c>
      <c r="H61" s="27">
        <f t="shared" si="62"/>
        <v>2.5714381437125749E-5</v>
      </c>
      <c r="I61" s="27">
        <f t="shared" si="63"/>
        <v>5.1428762875748273E-5</v>
      </c>
      <c r="J61" s="27">
        <f>-3.28609966190075E-07</f>
        <v>-3.28609966190075E-7</v>
      </c>
      <c r="K61" s="27">
        <f t="shared" si="64"/>
        <v>-1.9677243484435628E-5</v>
      </c>
      <c r="L61" s="28">
        <f t="shared" si="65"/>
        <v>-20.169174571546517</v>
      </c>
      <c r="M61" s="27">
        <f t="shared" si="57"/>
        <v>-3.9354486970016621E-5</v>
      </c>
      <c r="N61" s="27">
        <f>3.52486177291276E-07</f>
        <v>3.52486177291276E-7</v>
      </c>
      <c r="O61" s="27">
        <f t="shared" ref="O61:O70" si="74">N61/0.0167</f>
        <v>2.1106956724028502E-5</v>
      </c>
      <c r="P61" s="28">
        <f t="shared" si="66"/>
        <v>21.634630642129217</v>
      </c>
      <c r="Q61" s="27">
        <f t="shared" si="58"/>
        <v>4.2213913449285589E-5</v>
      </c>
      <c r="R61" s="23">
        <f>-2.25234334912325E-07</f>
        <v>-2.2523433491232501E-7</v>
      </c>
      <c r="S61" s="27">
        <f t="shared" si="67"/>
        <v>-1.3487085922893713E-5</v>
      </c>
      <c r="T61" s="27">
        <f t="shared" si="68"/>
        <v>-2.6974171846572477E-5</v>
      </c>
      <c r="U61" s="27">
        <v>-1.96721933E-7</v>
      </c>
      <c r="V61" s="27">
        <f t="shared" si="69"/>
        <v>-1.1779756467065868E-5</v>
      </c>
      <c r="W61" s="27">
        <f t="shared" si="70"/>
        <v>-2.3559512934817409E-5</v>
      </c>
      <c r="X61" s="28">
        <f t="shared" si="59"/>
        <v>-1.0726582074732038</v>
      </c>
      <c r="Y61" s="27">
        <f>-2.73051616845535E-07</f>
        <v>-2.7305161684553498E-7</v>
      </c>
      <c r="Z61" s="27">
        <f t="shared" si="71"/>
        <v>-1.6350396218295509E-5</v>
      </c>
      <c r="AA61" s="27">
        <f t="shared" si="72"/>
        <v>-8.1751981091477546E-6</v>
      </c>
      <c r="AB61" s="27">
        <f t="shared" si="73"/>
        <v>-1.6350396218771369E-5</v>
      </c>
      <c r="AC61" s="23"/>
      <c r="AD61" s="23"/>
    </row>
    <row r="62" spans="1:32" x14ac:dyDescent="0.2">
      <c r="A62" s="25">
        <v>42817.750000000007</v>
      </c>
      <c r="B62" s="26">
        <v>8</v>
      </c>
      <c r="C62" s="23">
        <v>5400</v>
      </c>
      <c r="D62" s="27">
        <f>7.217187896144E-09</f>
        <v>7.2171878961439997E-9</v>
      </c>
      <c r="E62" s="27">
        <f t="shared" si="60"/>
        <v>4.3216693988886229E-7</v>
      </c>
      <c r="F62" s="27">
        <f t="shared" si="61"/>
        <v>8.6433387980287998E-7</v>
      </c>
      <c r="G62" s="27">
        <v>4.4519632900000001E-7</v>
      </c>
      <c r="H62" s="27">
        <f t="shared" si="62"/>
        <v>2.665846281437126E-5</v>
      </c>
      <c r="I62" s="27">
        <f t="shared" si="63"/>
        <v>5.3316925630294244E-5</v>
      </c>
      <c r="J62" s="27">
        <f>2.12850693627774E-07</f>
        <v>2.12850693627774E-7</v>
      </c>
      <c r="K62" s="27">
        <f t="shared" si="64"/>
        <v>1.2745550516633174E-5</v>
      </c>
      <c r="L62" s="28">
        <f t="shared" si="65"/>
        <v>13.064189279549003</v>
      </c>
      <c r="M62" s="27">
        <f t="shared" si="57"/>
        <v>2.5491101034008237E-5</v>
      </c>
      <c r="N62" s="27">
        <f>-1.96589546863964E-07</f>
        <v>-1.9658954686396401E-7</v>
      </c>
      <c r="O62" s="27">
        <f t="shared" si="74"/>
        <v>-1.1771829153530779E-5</v>
      </c>
      <c r="P62" s="28">
        <f t="shared" si="66"/>
        <v>-12.066124882369049</v>
      </c>
      <c r="Q62" s="27">
        <f t="shared" si="58"/>
        <v>-2.3543658307746766E-5</v>
      </c>
      <c r="R62" s="27">
        <f>-1.54696697081422E-07</f>
        <v>-1.5469669708142201E-7</v>
      </c>
      <c r="S62" s="27">
        <f t="shared" si="67"/>
        <v>-9.2632752743366479E-6</v>
      </c>
      <c r="T62" s="27">
        <f t="shared" si="68"/>
        <v>-1.852655054921249E-5</v>
      </c>
      <c r="U62" s="27">
        <v>-1.80329693E-7</v>
      </c>
      <c r="V62" s="27">
        <f t="shared" si="69"/>
        <v>-1.0798185209580839E-5</v>
      </c>
      <c r="W62" s="27">
        <f t="shared" si="70"/>
        <v>-2.1596370419790213E-5</v>
      </c>
      <c r="X62" s="28">
        <f t="shared" si="59"/>
        <v>-0.92360303606880911</v>
      </c>
      <c r="Y62" s="27">
        <f>-1.65410907995059E-08</f>
        <v>-1.65410907995059E-8</v>
      </c>
      <c r="Z62" s="27">
        <f t="shared" si="71"/>
        <v>-9.9048447901232942E-7</v>
      </c>
      <c r="AA62" s="27">
        <f t="shared" si="72"/>
        <v>-4.9524223950616471E-7</v>
      </c>
      <c r="AB62" s="27">
        <f t="shared" si="73"/>
        <v>-9.9048447904115628E-7</v>
      </c>
      <c r="AC62" s="23"/>
      <c r="AD62" s="23"/>
    </row>
    <row r="63" spans="1:32" x14ac:dyDescent="0.2">
      <c r="A63" s="25">
        <v>42817.833333333343</v>
      </c>
      <c r="B63" s="26">
        <v>10</v>
      </c>
      <c r="C63" s="23">
        <v>5520</v>
      </c>
      <c r="D63" s="27">
        <f>2.26040540724067E-09</f>
        <v>2.2604054072406699E-9</v>
      </c>
      <c r="E63" s="27">
        <f t="shared" si="60"/>
        <v>1.3535361720004011E-7</v>
      </c>
      <c r="F63" s="27">
        <f t="shared" si="61"/>
        <v>2.7070723440795885E-7</v>
      </c>
      <c r="G63" s="27">
        <f>0.000000264338664585</f>
        <v>2.6433866458499999E-7</v>
      </c>
      <c r="H63" s="27">
        <f t="shared" si="62"/>
        <v>1.582866255E-5</v>
      </c>
      <c r="I63" s="27">
        <f t="shared" si="63"/>
        <v>3.1657325100921347E-5</v>
      </c>
      <c r="J63" s="27">
        <f>2.4390243902439E-07</f>
        <v>2.4390243902439001E-7</v>
      </c>
      <c r="K63" s="27">
        <f t="shared" si="64"/>
        <v>1.4604936468526349E-5</v>
      </c>
      <c r="L63" s="28">
        <f t="shared" si="65"/>
        <v>14.970059880239507</v>
      </c>
      <c r="M63" s="27">
        <f t="shared" si="57"/>
        <v>2.9209872937902818E-5</v>
      </c>
      <c r="N63" s="27">
        <f>-2.27642276422764E-07</f>
        <v>-2.2764227642276401E-7</v>
      </c>
      <c r="O63" s="27">
        <f t="shared" si="74"/>
        <v>-1.3631274037291259E-5</v>
      </c>
      <c r="P63" s="28">
        <f t="shared" si="66"/>
        <v>-13.97205588822354</v>
      </c>
      <c r="Q63" s="27">
        <f t="shared" si="58"/>
        <v>-2.7262548075375964E-5</v>
      </c>
      <c r="R63" s="27">
        <f>-8.39257607141821E-09</f>
        <v>-8.3925760714182099E-9</v>
      </c>
      <c r="S63" s="27">
        <f t="shared" si="67"/>
        <v>-5.0254946535438379E-7</v>
      </c>
      <c r="T63" s="27">
        <f t="shared" si="68"/>
        <v>-1.0050989307380199E-6</v>
      </c>
      <c r="U63" s="27">
        <f>-0.000000055458615502</f>
        <v>-5.5458615501999999E-8</v>
      </c>
      <c r="V63" s="27">
        <f t="shared" si="69"/>
        <v>-3.320875179760479E-6</v>
      </c>
      <c r="W63" s="27">
        <f t="shared" si="70"/>
        <v>-6.6417503597142585E-6</v>
      </c>
      <c r="X63" s="28">
        <f t="shared" si="59"/>
        <v>-0.93333333333333335</v>
      </c>
      <c r="Y63" s="27">
        <f>6.50406504065041E-09</f>
        <v>6.5040650406504097E-9</v>
      </c>
      <c r="Z63" s="27">
        <f t="shared" si="71"/>
        <v>3.894649724940365E-7</v>
      </c>
      <c r="AA63" s="27">
        <f t="shared" si="72"/>
        <v>1.9473248624701825E-7</v>
      </c>
      <c r="AB63" s="27">
        <f t="shared" si="73"/>
        <v>3.8946497250537144E-7</v>
      </c>
      <c r="AC63" s="23"/>
      <c r="AD63" s="23"/>
    </row>
    <row r="64" spans="1:32" x14ac:dyDescent="0.2">
      <c r="A64" s="25">
        <v>42817.916666666679</v>
      </c>
      <c r="B64" s="26">
        <v>12</v>
      </c>
      <c r="C64" s="23">
        <v>5640</v>
      </c>
      <c r="D64" s="27">
        <f>-1.8629509285343E-09</f>
        <v>-1.8629509285342999E-9</v>
      </c>
      <c r="E64" s="27">
        <f t="shared" si="60"/>
        <v>-1.1155394781642515E-7</v>
      </c>
      <c r="F64" s="27">
        <f t="shared" si="61"/>
        <v>-2.231078956393436E-7</v>
      </c>
      <c r="G64" s="27">
        <f>0.000000089316930751</f>
        <v>8.9316930750999994E-8</v>
      </c>
      <c r="H64" s="27">
        <f t="shared" si="62"/>
        <v>5.348319206646706E-6</v>
      </c>
      <c r="I64" s="27">
        <f t="shared" si="63"/>
        <v>1.0696638413604725E-5</v>
      </c>
      <c r="J64" s="27">
        <f>2.4390243902439E-07</f>
        <v>2.4390243902439001E-7</v>
      </c>
      <c r="K64" s="27">
        <f t="shared" si="64"/>
        <v>1.4604936468526349E-5</v>
      </c>
      <c r="L64" s="28">
        <f t="shared" si="65"/>
        <v>14.970059880239507</v>
      </c>
      <c r="M64" s="27">
        <f t="shared" si="57"/>
        <v>2.9209872937902818E-5</v>
      </c>
      <c r="N64" s="27">
        <f>-2.27642276422764E-07</f>
        <v>-2.2764227642276401E-7</v>
      </c>
      <c r="O64" s="27">
        <f t="shared" si="74"/>
        <v>-1.3631274037291259E-5</v>
      </c>
      <c r="P64" s="28">
        <f t="shared" si="66"/>
        <v>-13.97205588822354</v>
      </c>
      <c r="Q64" s="27">
        <f t="shared" si="58"/>
        <v>-2.7262548075375964E-5</v>
      </c>
      <c r="R64" s="27">
        <f>6.2486812113905E-08</f>
        <v>6.2486812113904996E-8</v>
      </c>
      <c r="S64" s="27">
        <f t="shared" si="67"/>
        <v>3.7417252762817362E-6</v>
      </c>
      <c r="T64" s="27">
        <f t="shared" si="68"/>
        <v>7.4834505527812691E-6</v>
      </c>
      <c r="U64" s="27">
        <f>0.000000029882293609</f>
        <v>2.9882293609E-8</v>
      </c>
      <c r="V64" s="27">
        <f t="shared" si="69"/>
        <v>1.789358898742515E-6</v>
      </c>
      <c r="W64" s="27">
        <f t="shared" si="70"/>
        <v>3.5787177975891845E-6</v>
      </c>
      <c r="X64" s="28">
        <f t="shared" si="59"/>
        <v>-0.93333333333333335</v>
      </c>
      <c r="Y64" s="27">
        <f>6.50406504065041E-09</f>
        <v>6.5040650406504097E-9</v>
      </c>
      <c r="Z64" s="27">
        <f t="shared" si="71"/>
        <v>3.894649724940365E-7</v>
      </c>
      <c r="AA64" s="27">
        <f t="shared" si="72"/>
        <v>1.9473248624701825E-7</v>
      </c>
      <c r="AB64" s="27">
        <f t="shared" si="73"/>
        <v>3.8946497250537144E-7</v>
      </c>
      <c r="AC64" s="23"/>
      <c r="AD64" s="23"/>
    </row>
    <row r="65" spans="1:30" x14ac:dyDescent="0.2">
      <c r="A65" s="25">
        <v>42818.000000000015</v>
      </c>
      <c r="B65" s="26">
        <v>14</v>
      </c>
      <c r="C65" s="23">
        <v>5760</v>
      </c>
      <c r="D65" s="27">
        <f>-4.9383398508951E-09</f>
        <v>-4.9383398508950997E-9</v>
      </c>
      <c r="E65" s="27">
        <f t="shared" si="60"/>
        <v>-2.9570897310749099E-7</v>
      </c>
      <c r="F65" s="27">
        <f t="shared" si="61"/>
        <v>-5.9141794623219455E-7</v>
      </c>
      <c r="G65" s="27">
        <v>-2.5567573000000001E-8</v>
      </c>
      <c r="H65" s="27">
        <f t="shared" si="62"/>
        <v>-1.5309923952095808E-6</v>
      </c>
      <c r="I65" s="27">
        <f t="shared" si="63"/>
        <v>-3.0619847905082771E-6</v>
      </c>
      <c r="J65" s="27">
        <f>2.4390243902439E-07</f>
        <v>2.4390243902439001E-7</v>
      </c>
      <c r="K65" s="27">
        <f t="shared" si="64"/>
        <v>1.4604936468526349E-5</v>
      </c>
      <c r="L65" s="28">
        <f t="shared" si="65"/>
        <v>14.970059880239507</v>
      </c>
      <c r="M65" s="27">
        <f t="shared" si="57"/>
        <v>2.9209872937902818E-5</v>
      </c>
      <c r="N65" s="27">
        <f>-2.27642276422764E-07</f>
        <v>-2.2764227642276401E-7</v>
      </c>
      <c r="O65" s="27">
        <f t="shared" si="74"/>
        <v>-1.3631274037291259E-5</v>
      </c>
      <c r="P65" s="28">
        <f t="shared" si="66"/>
        <v>-13.97205588822354</v>
      </c>
      <c r="Q65" s="27">
        <f t="shared" si="58"/>
        <v>-2.7262548075375964E-5</v>
      </c>
      <c r="R65" s="27">
        <f>9.52843225151448E-08</f>
        <v>9.5284322515144804E-8</v>
      </c>
      <c r="S65" s="27">
        <f t="shared" si="67"/>
        <v>5.7056480547990901E-6</v>
      </c>
      <c r="T65" s="27">
        <f t="shared" si="68"/>
        <v>1.1411296109930293E-5</v>
      </c>
      <c r="U65" s="27">
        <v>6.9849773999999994E-8</v>
      </c>
      <c r="V65" s="27">
        <f t="shared" si="69"/>
        <v>4.1826211976047901E-6</v>
      </c>
      <c r="W65" s="27">
        <f t="shared" si="70"/>
        <v>8.3652423954530412E-6</v>
      </c>
      <c r="X65" s="28">
        <f t="shared" si="59"/>
        <v>-0.93333333333333335</v>
      </c>
      <c r="Y65" s="27">
        <f>6.50406504065041E-09</f>
        <v>6.5040650406504097E-9</v>
      </c>
      <c r="Z65" s="27">
        <f t="shared" si="71"/>
        <v>3.894649724940365E-7</v>
      </c>
      <c r="AA65" s="27">
        <f t="shared" si="72"/>
        <v>1.9473248624701825E-7</v>
      </c>
      <c r="AB65" s="27">
        <f t="shared" si="73"/>
        <v>3.8946497250537144E-7</v>
      </c>
      <c r="AC65" s="23"/>
      <c r="AD65" s="23"/>
    </row>
    <row r="66" spans="1:30" x14ac:dyDescent="0.2">
      <c r="A66" s="25">
        <v>42818.08333333335</v>
      </c>
      <c r="B66" s="26">
        <v>16</v>
      </c>
      <c r="C66" s="23">
        <v>5880</v>
      </c>
      <c r="D66" s="27">
        <f>-7.117153011004E-09</f>
        <v>-7.1171530110040003E-9</v>
      </c>
      <c r="E66" s="27">
        <f t="shared" si="60"/>
        <v>-4.261768270062276E-7</v>
      </c>
      <c r="F66" s="27">
        <f t="shared" si="61"/>
        <v>-1.7047073080001035E-6</v>
      </c>
      <c r="G66" s="27">
        <v>-9.9906462999999993E-8</v>
      </c>
      <c r="H66" s="27">
        <f t="shared" si="62"/>
        <v>-5.9824229341317366E-6</v>
      </c>
      <c r="I66" s="27">
        <f t="shared" si="63"/>
        <v>-2.3929691736178724E-5</v>
      </c>
      <c r="J66" s="27">
        <f>2.4390243902439E-07</f>
        <v>2.4390243902439001E-7</v>
      </c>
      <c r="K66" s="27">
        <f t="shared" si="64"/>
        <v>1.4604936468526349E-5</v>
      </c>
      <c r="L66" s="28">
        <f t="shared" si="65"/>
        <v>14.970059880239507</v>
      </c>
      <c r="M66" s="27">
        <f t="shared" si="57"/>
        <v>5.841974587325528E-5</v>
      </c>
      <c r="N66" s="27">
        <f>-2.27642276422764E-07</f>
        <v>-2.2764227642276401E-7</v>
      </c>
      <c r="O66" s="27">
        <f t="shared" si="74"/>
        <v>-1.3631274037291259E-5</v>
      </c>
      <c r="P66" s="28">
        <f t="shared" si="66"/>
        <v>-13.97205588822354</v>
      </c>
      <c r="Q66" s="27">
        <f t="shared" si="58"/>
        <v>-5.452509614837159E-5</v>
      </c>
      <c r="R66" s="27">
        <f>1.10438203055516E-07</f>
        <v>1.10438203055516E-7</v>
      </c>
      <c r="S66" s="27">
        <f t="shared" si="67"/>
        <v>6.6130660512285033E-6</v>
      </c>
      <c r="T66" s="27">
        <f t="shared" si="68"/>
        <v>2.6452264204529081E-5</v>
      </c>
      <c r="U66" s="27">
        <v>8.8323894999999994E-8</v>
      </c>
      <c r="V66" s="27">
        <f t="shared" si="69"/>
        <v>5.2888559880239519E-6</v>
      </c>
      <c r="W66" s="27">
        <f t="shared" si="70"/>
        <v>2.1155423951787955E-5</v>
      </c>
      <c r="X66" s="28">
        <f t="shared" si="59"/>
        <v>-0.93333333333333335</v>
      </c>
      <c r="Y66" s="27">
        <f>6.50406504065041E-09</f>
        <v>6.5040650406504097E-9</v>
      </c>
      <c r="Z66" s="27">
        <f t="shared" si="71"/>
        <v>3.894649724940365E-7</v>
      </c>
      <c r="AA66" s="27">
        <f t="shared" si="72"/>
        <v>1.9473248624701825E-7</v>
      </c>
      <c r="AB66" s="27">
        <f t="shared" si="73"/>
        <v>7.7892994497673811E-7</v>
      </c>
      <c r="AC66" s="23"/>
      <c r="AD66" s="23"/>
    </row>
    <row r="67" spans="1:30" x14ac:dyDescent="0.2">
      <c r="A67" s="25">
        <v>42818.250000000015</v>
      </c>
      <c r="B67" s="26">
        <v>20</v>
      </c>
      <c r="C67" s="23">
        <v>6120</v>
      </c>
      <c r="D67" s="27">
        <f>-9.606604940407E-09</f>
        <v>-9.6066049404069997E-9</v>
      </c>
      <c r="E67" s="27">
        <f t="shared" si="60"/>
        <v>-5.7524580481479037E-7</v>
      </c>
      <c r="F67" s="27">
        <f t="shared" si="61"/>
        <v>-1.1504916096630644E-6</v>
      </c>
      <c r="G67" s="27">
        <v>-1.7900878299999999E-7</v>
      </c>
      <c r="H67" s="27">
        <f t="shared" si="62"/>
        <v>-1.071908880239521E-5</v>
      </c>
      <c r="I67" s="27">
        <f t="shared" si="63"/>
        <v>-2.1438177605414354E-5</v>
      </c>
      <c r="J67" s="27">
        <f>2.4390243902439E-07</f>
        <v>2.4390243902439001E-7</v>
      </c>
      <c r="K67" s="27">
        <f t="shared" si="64"/>
        <v>1.4604936468526349E-5</v>
      </c>
      <c r="L67" s="28">
        <f t="shared" si="65"/>
        <v>14.970059880239507</v>
      </c>
      <c r="M67" s="27">
        <f t="shared" si="57"/>
        <v>2.9209872937902818E-5</v>
      </c>
      <c r="N67" s="27">
        <f>-2.27642276422764E-07</f>
        <v>-2.2764227642276401E-7</v>
      </c>
      <c r="O67" s="27">
        <f t="shared" si="74"/>
        <v>-1.3631274037291259E-5</v>
      </c>
      <c r="P67" s="28">
        <f t="shared" si="66"/>
        <v>-13.97205588822354</v>
      </c>
      <c r="Q67" s="27">
        <f t="shared" si="58"/>
        <v>-2.7262548075375964E-5</v>
      </c>
      <c r="R67" s="27">
        <f>1.20674404212715E-07</f>
        <v>1.2067440421271501E-7</v>
      </c>
      <c r="S67" s="27">
        <f t="shared" si="67"/>
        <v>7.2260122283062878E-6</v>
      </c>
      <c r="T67" s="27">
        <f t="shared" si="68"/>
        <v>1.4452024457033185E-5</v>
      </c>
      <c r="U67" s="27">
        <v>1.00803034E-7</v>
      </c>
      <c r="V67" s="27">
        <f t="shared" si="69"/>
        <v>6.036109820359281E-6</v>
      </c>
      <c r="W67" s="27">
        <f t="shared" si="70"/>
        <v>1.207221964106991E-5</v>
      </c>
      <c r="X67" s="28">
        <f t="shared" si="59"/>
        <v>-0.93333333333333335</v>
      </c>
      <c r="Y67" s="27">
        <f>6.50406504065041E-09</f>
        <v>6.5040650406504097E-9</v>
      </c>
      <c r="Z67" s="27">
        <f t="shared" si="71"/>
        <v>3.894649724940365E-7</v>
      </c>
      <c r="AA67" s="27">
        <f t="shared" si="72"/>
        <v>1.9473248624701825E-7</v>
      </c>
      <c r="AB67" s="27">
        <f t="shared" si="73"/>
        <v>3.8946497250537144E-7</v>
      </c>
      <c r="AC67" s="23"/>
      <c r="AD67" s="23"/>
    </row>
    <row r="68" spans="1:30" x14ac:dyDescent="0.2">
      <c r="A68" s="25">
        <v>42818.33333333335</v>
      </c>
      <c r="B68" s="26">
        <v>22</v>
      </c>
      <c r="C68" s="23">
        <v>6240</v>
      </c>
      <c r="D68" s="27">
        <f>-6.0295757080695E-09</f>
        <v>-6.0295757080694997E-9</v>
      </c>
      <c r="E68" s="27">
        <f t="shared" si="60"/>
        <v>-3.6105243760895207E-7</v>
      </c>
      <c r="F68" s="27">
        <f t="shared" si="61"/>
        <v>-7.2210487523892019E-7</v>
      </c>
      <c r="G68" s="27">
        <v>-1.77240388E-7</v>
      </c>
      <c r="H68" s="27">
        <f t="shared" si="62"/>
        <v>-1.0613196886227545E-5</v>
      </c>
      <c r="I68" s="27">
        <f t="shared" si="63"/>
        <v>-2.1226393773072857E-5</v>
      </c>
      <c r="J68" s="27">
        <f>-4.32000067349556E-07</f>
        <v>-4.3200006734955597E-7</v>
      </c>
      <c r="K68" s="27">
        <f t="shared" si="64"/>
        <v>-2.5868267505961437E-5</v>
      </c>
      <c r="L68" s="28">
        <f t="shared" si="65"/>
        <v>-26.514974193610474</v>
      </c>
      <c r="M68" s="27">
        <f t="shared" si="57"/>
        <v>-5.1736535013428607E-5</v>
      </c>
      <c r="N68" s="27">
        <f>4.63421861698336E-07</f>
        <v>4.6342186169833603E-7</v>
      </c>
      <c r="O68" s="27">
        <f t="shared" si="74"/>
        <v>2.7749812077744674E-5</v>
      </c>
      <c r="P68" s="28">
        <f t="shared" si="66"/>
        <v>28.44355737968829</v>
      </c>
      <c r="Q68" s="27">
        <f t="shared" si="58"/>
        <v>5.54996241571046E-5</v>
      </c>
      <c r="R68" s="27">
        <f>3.88470412402117E-08</f>
        <v>3.8847041240211702E-8</v>
      </c>
      <c r="S68" s="27">
        <f t="shared" si="67"/>
        <v>2.3261701341444133E-6</v>
      </c>
      <c r="T68" s="27">
        <f t="shared" si="68"/>
        <v>4.6523402684242274E-6</v>
      </c>
      <c r="U68" s="27">
        <v>8.8471621000000001E-8</v>
      </c>
      <c r="V68" s="27">
        <f t="shared" si="69"/>
        <v>5.2977018562874255E-6</v>
      </c>
      <c r="W68" s="27">
        <f t="shared" si="70"/>
        <v>1.0595403712883218E-5</v>
      </c>
      <c r="X68" s="28">
        <f t="shared" si="59"/>
        <v>-1.0727356237270096</v>
      </c>
      <c r="Y68" s="27">
        <f>-3.14071994190948E-07</f>
        <v>-3.14071994190948E-7</v>
      </c>
      <c r="Z68" s="27">
        <f t="shared" si="71"/>
        <v>-1.8806706238978922E-5</v>
      </c>
      <c r="AA68" s="27">
        <f t="shared" si="72"/>
        <v>-9.4033531194894609E-6</v>
      </c>
      <c r="AB68" s="27">
        <f t="shared" si="73"/>
        <v>-1.8806706239526268E-5</v>
      </c>
      <c r="AC68" s="23"/>
      <c r="AD68" s="23"/>
    </row>
    <row r="69" spans="1:30" x14ac:dyDescent="0.2">
      <c r="A69" s="25">
        <v>42818.416666666686</v>
      </c>
      <c r="B69" s="26">
        <v>24</v>
      </c>
      <c r="C69" s="23">
        <v>6360</v>
      </c>
      <c r="D69" s="27">
        <f>1.236394140076E-09</f>
        <v>1.2363941400760001E-9</v>
      </c>
      <c r="E69" s="27">
        <f t="shared" si="60"/>
        <v>7.4035577250059892E-8</v>
      </c>
      <c r="F69" s="27">
        <f t="shared" si="61"/>
        <v>1.4807115446564427E-7</v>
      </c>
      <c r="G69" s="27">
        <f>0.000000026562806197</f>
        <v>2.6562806197E-8</v>
      </c>
      <c r="H69" s="27">
        <f t="shared" si="62"/>
        <v>1.5905871974251497E-6</v>
      </c>
      <c r="I69" s="27">
        <f t="shared" si="63"/>
        <v>3.1811743941096245E-6</v>
      </c>
      <c r="J69" s="27">
        <f>-4.38948806982948E-07</f>
        <v>-4.3894880698294802E-7</v>
      </c>
      <c r="K69" s="27">
        <f t="shared" si="64"/>
        <v>-2.6284359699577728E-5</v>
      </c>
      <c r="L69" s="28">
        <f t="shared" si="65"/>
        <v>-26.941468692067172</v>
      </c>
      <c r="M69" s="27">
        <f t="shared" si="57"/>
        <v>-5.256871938691585E-5</v>
      </c>
      <c r="N69" s="27">
        <f>4.71447521867082E-07</f>
        <v>4.7144752186708202E-7</v>
      </c>
      <c r="O69" s="27">
        <f t="shared" si="74"/>
        <v>2.8230390530962995E-5</v>
      </c>
      <c r="P69" s="28">
        <f t="shared" si="66"/>
        <v>28.936150294237073</v>
      </c>
      <c r="Q69" s="27">
        <f t="shared" si="58"/>
        <v>5.6460781048780188E-5</v>
      </c>
      <c r="R69" s="27">
        <f>-1.11115744508299E-07</f>
        <v>-1.11115744508299E-7</v>
      </c>
      <c r="S69" s="27">
        <f t="shared" si="67"/>
        <v>-6.6536373957065275E-6</v>
      </c>
      <c r="T69" s="27">
        <f>($A70-$A69)*24*S69</f>
        <v>-1.3307274788314713E-5</v>
      </c>
      <c r="U69" s="27">
        <f>-0.000000041800823529</f>
        <v>-4.1800823528999999E-8</v>
      </c>
      <c r="V69" s="27">
        <f t="shared" si="69"/>
        <v>-2.5030433250898206E-6</v>
      </c>
      <c r="W69" s="27">
        <f>($A70-$A69)*24*V69</f>
        <v>-5.0060866490140705E-6</v>
      </c>
      <c r="X69" s="28">
        <f t="shared" si="59"/>
        <v>-1.0740375970207305</v>
      </c>
      <c r="Y69" s="27">
        <f>-3.18580652302302E-07</f>
        <v>-3.18580652302302E-7</v>
      </c>
      <c r="Z69" s="27">
        <f t="shared" si="71"/>
        <v>-1.9076685766604911E-5</v>
      </c>
      <c r="AA69" s="27">
        <f t="shared" si="72"/>
        <v>-9.5383428833024556E-6</v>
      </c>
      <c r="AB69" s="23"/>
      <c r="AC69" s="23"/>
      <c r="AD69" s="23"/>
    </row>
    <row r="70" spans="1:30" x14ac:dyDescent="0.2">
      <c r="A70" s="25">
        <v>42818.5</v>
      </c>
      <c r="B70" s="26">
        <v>26</v>
      </c>
      <c r="C70" s="23">
        <v>6480</v>
      </c>
      <c r="D70" s="27">
        <f>5.287874067736E-09</f>
        <v>5.287874067736E-9</v>
      </c>
      <c r="E70" s="27">
        <f t="shared" si="60"/>
        <v>3.1663916573269461E-7</v>
      </c>
      <c r="F70" s="23"/>
      <c r="G70" s="27">
        <f>0.000000219964201666</f>
        <v>2.1996420166599999E-7</v>
      </c>
      <c r="H70" s="27">
        <f t="shared" si="62"/>
        <v>1.3171509081796407E-5</v>
      </c>
      <c r="I70" s="23"/>
      <c r="J70" s="27">
        <f>-4.39020004817022E-07</f>
        <v>-4.3902000481702203E-7</v>
      </c>
      <c r="K70" s="27">
        <f t="shared" si="64"/>
        <v>-2.628862304293545E-5</v>
      </c>
      <c r="L70" s="28">
        <f t="shared" si="65"/>
        <v>-26.945838619008835</v>
      </c>
      <c r="M70" s="23"/>
      <c r="N70" s="27">
        <f>4.7153869007551E-07</f>
        <v>4.7153869007550998E-7</v>
      </c>
      <c r="O70" s="27">
        <f t="shared" si="74"/>
        <v>2.8235849705120358E-5</v>
      </c>
      <c r="P70" s="28">
        <f t="shared" si="66"/>
        <v>28.941745947748366</v>
      </c>
      <c r="Q70" s="23"/>
      <c r="R70" s="27">
        <f>-1.88534748338677E-07</f>
        <v>-1.8853474833867699E-7</v>
      </c>
      <c r="S70" s="27">
        <f t="shared" si="67"/>
        <v>-1.1289505888543533E-5</v>
      </c>
      <c r="T70" s="23"/>
      <c r="U70" s="27">
        <f>-0.000000134239880747</f>
        <v>-1.34239880747E-7</v>
      </c>
      <c r="V70" s="27">
        <f t="shared" si="69"/>
        <v>-8.03831621239521E-6</v>
      </c>
      <c r="W70" s="23"/>
      <c r="X70" s="28">
        <f t="shared" si="59"/>
        <v>-1.0740710785424035</v>
      </c>
      <c r="Y70" s="27">
        <f>-3.18687296897392E-07</f>
        <v>-3.1868729689739201E-7</v>
      </c>
      <c r="Z70" s="27"/>
      <c r="AA70" s="27"/>
      <c r="AB70" s="23"/>
      <c r="AC70" s="23"/>
      <c r="AD70" s="23"/>
    </row>
    <row r="73" spans="1:30" x14ac:dyDescent="0.2">
      <c r="A73" s="23" t="s">
        <v>129</v>
      </c>
      <c r="B73" s="23"/>
      <c r="C73" s="23"/>
    </row>
    <row r="74" spans="1:30" x14ac:dyDescent="0.2">
      <c r="A74" s="29" t="s">
        <v>99</v>
      </c>
      <c r="B74" s="23" t="s">
        <v>130</v>
      </c>
      <c r="C74" s="23" t="s">
        <v>131</v>
      </c>
      <c r="D74" s="23" t="s">
        <v>132</v>
      </c>
      <c r="E74" s="23" t="s">
        <v>257</v>
      </c>
      <c r="F74" s="23" t="s">
        <v>260</v>
      </c>
      <c r="G74" s="23" t="s">
        <v>133</v>
      </c>
      <c r="H74" s="23" t="s">
        <v>131</v>
      </c>
      <c r="I74" s="23" t="s">
        <v>134</v>
      </c>
      <c r="J74" s="23" t="s">
        <v>258</v>
      </c>
      <c r="K74" s="23" t="s">
        <v>261</v>
      </c>
      <c r="L74" s="23" t="s">
        <v>135</v>
      </c>
      <c r="M74" s="23" t="s">
        <v>131</v>
      </c>
      <c r="N74" s="23" t="s">
        <v>136</v>
      </c>
      <c r="O74" s="23" t="s">
        <v>259</v>
      </c>
      <c r="P74" s="23" t="s">
        <v>262</v>
      </c>
    </row>
    <row r="75" spans="1:30" x14ac:dyDescent="0.2">
      <c r="A75" s="25">
        <v>42817.4375</v>
      </c>
      <c r="B75" s="23">
        <v>1.916072205776E-3</v>
      </c>
      <c r="C75" s="28">
        <f>B75*10^6</f>
        <v>1916.0722057759999</v>
      </c>
      <c r="D75" s="28">
        <f>'All Experimental Diel Data'!H52</f>
        <v>1951.9025051912383</v>
      </c>
      <c r="E75" s="28">
        <f t="shared" ref="E75:E87" si="75">SLOPE($C$76:$C$86,$D$76:$D$86)*D75+INTERCEPT($C$76:$C$86,$D$76:$D$86)</f>
        <v>1935.9057812694864</v>
      </c>
      <c r="F75" s="28">
        <f>C75-E75</f>
        <v>-19.833575493486478</v>
      </c>
      <c r="G75" s="44">
        <v>2.2768159232849998E-3</v>
      </c>
      <c r="H75" s="28">
        <f>G75*10^6</f>
        <v>2276.8159232849998</v>
      </c>
      <c r="I75" s="28">
        <f>'All Experimental Diel Data'!E52</f>
        <v>2276.0883180387168</v>
      </c>
      <c r="J75" s="28">
        <f t="shared" ref="J75:J87" si="76">SLOPE($H$76:$H$86,$I$76:$I$86)*I75+INTERCEPT($H$76:$H$86,$I$76:$I$86)</f>
        <v>2273.3925761796163</v>
      </c>
      <c r="K75" s="28">
        <f>H75-J75</f>
        <v>3.4233471053835274</v>
      </c>
      <c r="L75" s="27">
        <v>2.3664628275400001E-4</v>
      </c>
      <c r="M75" s="28">
        <f t="shared" ref="M75:M87" si="77">L75*10^6</f>
        <v>236.646282754</v>
      </c>
      <c r="N75" s="28">
        <f>'All Experimental Diel Data'!P52</f>
        <v>212.72841449527766</v>
      </c>
      <c r="O75" s="28">
        <f t="shared" ref="O75:O87" si="78">SLOPE($M$76:$M$86,$N$76:$N$86)*N75+INTERCEPT($M$76:$M$86,$N$76:$N$86)</f>
        <v>217.94253967767415</v>
      </c>
      <c r="P75" s="28">
        <f>M75-O75</f>
        <v>18.70374307632585</v>
      </c>
    </row>
    <row r="76" spans="1:30" x14ac:dyDescent="0.2">
      <c r="A76" s="25">
        <v>42817.5</v>
      </c>
      <c r="B76" s="23">
        <v>1.87664385294E-3</v>
      </c>
      <c r="C76" s="28">
        <f t="shared" ref="C76:C87" si="79">B76*10^6</f>
        <v>1876.64385294</v>
      </c>
      <c r="D76" s="28">
        <f>'All Experimental Diel Data'!H53</f>
        <v>1891.858847056923</v>
      </c>
      <c r="E76" s="28">
        <f t="shared" si="75"/>
        <v>1877.5529703042455</v>
      </c>
      <c r="F76" s="28">
        <f>C76-E76</f>
        <v>-0.90911736424550327</v>
      </c>
      <c r="G76" s="44">
        <v>2.261644768934E-3</v>
      </c>
      <c r="H76" s="28">
        <f t="shared" ref="H76:H87" si="80">G76*10^6</f>
        <v>2261.6447689339998</v>
      </c>
      <c r="I76" s="28">
        <f>'All Experimental Diel Data'!E53</f>
        <v>2273.8965376055971</v>
      </c>
      <c r="J76" s="28">
        <f t="shared" si="76"/>
        <v>2271.3974049677249</v>
      </c>
      <c r="K76" s="28">
        <f>H76-J76</f>
        <v>-9.752636033725139</v>
      </c>
      <c r="L76" s="27">
        <v>2.5457409074599999E-4</v>
      </c>
      <c r="M76" s="28">
        <f t="shared" si="77"/>
        <v>254.574090746</v>
      </c>
      <c r="N76" s="28">
        <f>'All Experimental Diel Data'!P53</f>
        <v>246.97147027120369</v>
      </c>
      <c r="O76" s="28">
        <f t="shared" si="78"/>
        <v>251.4482145143065</v>
      </c>
      <c r="P76" s="28">
        <f>M76-O76</f>
        <v>3.1258762316934963</v>
      </c>
    </row>
    <row r="77" spans="1:30" x14ac:dyDescent="0.2">
      <c r="A77" s="25">
        <v>42817.583333333336</v>
      </c>
      <c r="B77" s="23">
        <v>1.840656478337E-3</v>
      </c>
      <c r="C77" s="28">
        <f t="shared" si="79"/>
        <v>1840.656478337</v>
      </c>
      <c r="D77" s="28">
        <f>'All Experimental Diel Data'!H54</f>
        <v>1865.6570321438414</v>
      </c>
      <c r="E77" s="28">
        <f t="shared" si="75"/>
        <v>1852.0890062474741</v>
      </c>
      <c r="F77" s="28">
        <f t="shared" ref="F77:F87" si="81">C77-E77</f>
        <v>-11.432527910474164</v>
      </c>
      <c r="G77" s="44">
        <v>2.2477001649939998E-3</v>
      </c>
      <c r="H77" s="28">
        <f t="shared" si="80"/>
        <v>2247.7001649939998</v>
      </c>
      <c r="I77" s="28">
        <f>'All Experimental Diel Data'!E54</f>
        <v>2255.2374669082956</v>
      </c>
      <c r="J77" s="28">
        <f t="shared" si="76"/>
        <v>2254.4121083872155</v>
      </c>
      <c r="K77" s="28">
        <f t="shared" ref="K77:K87" si="82">H77-J77</f>
        <v>-6.7119433932157335</v>
      </c>
      <c r="L77" s="27">
        <v>2.66713489003E-4</v>
      </c>
      <c r="M77" s="28">
        <f t="shared" si="77"/>
        <v>266.71348900300001</v>
      </c>
      <c r="N77" s="28">
        <f>'All Experimental Diel Data'!P54</f>
        <v>260.22615100673943</v>
      </c>
      <c r="O77" s="28">
        <f t="shared" si="78"/>
        <v>264.41747244777798</v>
      </c>
      <c r="P77" s="28">
        <f t="shared" ref="P77:P87" si="83">M77-O77</f>
        <v>2.2960165552220246</v>
      </c>
    </row>
    <row r="78" spans="1:30" x14ac:dyDescent="0.2">
      <c r="A78" s="25">
        <v>42817.666666666672</v>
      </c>
      <c r="B78" s="23">
        <v>1.823588365456E-3</v>
      </c>
      <c r="C78" s="28">
        <f t="shared" si="79"/>
        <v>1823.588365456</v>
      </c>
      <c r="D78" s="28">
        <f>'All Experimental Diel Data'!H55</f>
        <v>1819.7049633708295</v>
      </c>
      <c r="E78" s="28">
        <f t="shared" si="75"/>
        <v>1807.4309613199807</v>
      </c>
      <c r="F78" s="28">
        <f t="shared" si="81"/>
        <v>16.157404136019295</v>
      </c>
      <c r="G78" s="44">
        <v>2.2406857923400001E-3</v>
      </c>
      <c r="H78" s="28">
        <f t="shared" si="80"/>
        <v>2240.6857923400003</v>
      </c>
      <c r="I78" s="28">
        <f>'All Experimental Diel Data'!E55</f>
        <v>2239.8308352786348</v>
      </c>
      <c r="J78" s="28">
        <f t="shared" si="76"/>
        <v>2240.387497420159</v>
      </c>
      <c r="K78" s="28">
        <f t="shared" si="82"/>
        <v>0.29829491984128254</v>
      </c>
      <c r="L78" s="27">
        <v>2.6705339397700001E-4</v>
      </c>
      <c r="M78" s="28">
        <f t="shared" si="77"/>
        <v>267.05339397699998</v>
      </c>
      <c r="N78" s="28">
        <f>'All Experimental Diel Data'!P55</f>
        <v>271.094701638505</v>
      </c>
      <c r="O78" s="28">
        <f t="shared" si="78"/>
        <v>275.05198257433705</v>
      </c>
      <c r="P78" s="28">
        <f t="shared" si="83"/>
        <v>-7.9985885973370614</v>
      </c>
    </row>
    <row r="79" spans="1:30" x14ac:dyDescent="0.2">
      <c r="A79" s="25">
        <v>42817.750000000007</v>
      </c>
      <c r="B79" s="23">
        <v>1.8450693132560001E-3</v>
      </c>
      <c r="C79" s="28">
        <f t="shared" si="79"/>
        <v>1845.069313256</v>
      </c>
      <c r="D79" s="28">
        <f>'All Experimental Diel Data'!H56</f>
        <v>1854.9364035453768</v>
      </c>
      <c r="E79" s="28">
        <f t="shared" si="75"/>
        <v>1841.670273720629</v>
      </c>
      <c r="F79" s="28">
        <f t="shared" si="81"/>
        <v>3.3990395353710028</v>
      </c>
      <c r="G79" s="44">
        <v>2.24780628995E-3</v>
      </c>
      <c r="H79" s="28">
        <f t="shared" si="80"/>
        <v>2247.8062899500001</v>
      </c>
      <c r="I79" s="28">
        <f>'All Experimental Diel Data'!E56</f>
        <v>2263.2013553890069</v>
      </c>
      <c r="J79" s="28">
        <f t="shared" si="76"/>
        <v>2261.661612393787</v>
      </c>
      <c r="K79" s="28">
        <f t="shared" si="82"/>
        <v>-13.855322443786918</v>
      </c>
      <c r="L79" s="27">
        <v>2.4218622407300001E-4</v>
      </c>
      <c r="M79" s="28">
        <f t="shared" si="77"/>
        <v>242.18622407300001</v>
      </c>
      <c r="N79" s="28">
        <f>'All Experimental Diel Data'!P56</f>
        <v>239.88415763908597</v>
      </c>
      <c r="O79" s="28">
        <f t="shared" si="78"/>
        <v>244.51351820474878</v>
      </c>
      <c r="P79" s="28">
        <f t="shared" si="83"/>
        <v>-2.3272941317487721</v>
      </c>
    </row>
    <row r="80" spans="1:30" x14ac:dyDescent="0.2">
      <c r="A80" s="25">
        <v>42817.833333333343</v>
      </c>
      <c r="B80" s="23">
        <v>1.918848316052E-3</v>
      </c>
      <c r="C80" s="28">
        <f t="shared" si="79"/>
        <v>1918.848316052</v>
      </c>
      <c r="D80" s="28">
        <f>'All Experimental Diel Data'!H57</f>
        <v>1950.9529733972374</v>
      </c>
      <c r="E80" s="28">
        <f t="shared" si="75"/>
        <v>1934.9829885715985</v>
      </c>
      <c r="F80" s="28">
        <f t="shared" si="81"/>
        <v>-16.134672519598553</v>
      </c>
      <c r="G80" s="44">
        <v>2.2766291884789998E-3</v>
      </c>
      <c r="H80" s="28">
        <f t="shared" si="80"/>
        <v>2276.6291884789998</v>
      </c>
      <c r="I80" s="28">
        <f>'All Experimental Diel Data'!E57</f>
        <v>2302.5183280172341</v>
      </c>
      <c r="J80" s="28">
        <f t="shared" si="76"/>
        <v>2297.4517356840533</v>
      </c>
      <c r="K80" s="28">
        <f t="shared" si="82"/>
        <v>-20.822547205053525</v>
      </c>
      <c r="L80" s="27">
        <v>1.91807191963E-4</v>
      </c>
      <c r="M80" s="28">
        <f t="shared" si="77"/>
        <v>191.80719196300001</v>
      </c>
      <c r="N80" s="28">
        <f>'All Experimental Diel Data'!P57</f>
        <v>193.05723017317678</v>
      </c>
      <c r="O80" s="28">
        <f t="shared" si="78"/>
        <v>198.69494945498326</v>
      </c>
      <c r="P80" s="28">
        <f t="shared" si="83"/>
        <v>-6.8877574919832512</v>
      </c>
    </row>
    <row r="81" spans="1:16" x14ac:dyDescent="0.2">
      <c r="A81" s="25">
        <v>42817.916666666679</v>
      </c>
      <c r="B81" s="23">
        <v>1.9689600866959998E-3</v>
      </c>
      <c r="C81" s="28">
        <f t="shared" si="79"/>
        <v>1968.9600866959997</v>
      </c>
      <c r="D81" s="28">
        <f>'All Experimental Diel Data'!H58</f>
        <v>2015.7197224897964</v>
      </c>
      <c r="E81" s="28">
        <f t="shared" si="75"/>
        <v>1997.9258868569941</v>
      </c>
      <c r="F81" s="28">
        <f t="shared" si="81"/>
        <v>-28.965800160994377</v>
      </c>
      <c r="G81" s="44">
        <v>2.296509421242E-3</v>
      </c>
      <c r="H81" s="28">
        <f t="shared" si="80"/>
        <v>2296.5094212419999</v>
      </c>
      <c r="I81" s="28">
        <f>'All Experimental Diel Data'!E58</f>
        <v>2327.8352645088721</v>
      </c>
      <c r="J81" s="28">
        <f t="shared" si="76"/>
        <v>2320.4976677026607</v>
      </c>
      <c r="K81" s="28">
        <f t="shared" si="82"/>
        <v>-23.988246460660775</v>
      </c>
      <c r="L81" s="27">
        <v>1.6744014741799999E-4</v>
      </c>
      <c r="M81" s="28">
        <f t="shared" si="77"/>
        <v>167.44014741799998</v>
      </c>
      <c r="N81" s="28">
        <f>'All Experimental Diel Data'!P58</f>
        <v>157.03591930822896</v>
      </c>
      <c r="O81" s="28">
        <f t="shared" si="78"/>
        <v>163.44931200580746</v>
      </c>
      <c r="P81" s="28">
        <f t="shared" si="83"/>
        <v>3.9908354121925242</v>
      </c>
    </row>
    <row r="82" spans="1:16" x14ac:dyDescent="0.2">
      <c r="A82" s="25">
        <v>42818.000000000015</v>
      </c>
      <c r="B82" s="23">
        <v>2.001469509507E-3</v>
      </c>
      <c r="C82" s="28">
        <f t="shared" si="79"/>
        <v>2001.4695095070001</v>
      </c>
      <c r="D82" s="28">
        <f>'All Experimental Diel Data'!H59</f>
        <v>2021.0051817801918</v>
      </c>
      <c r="E82" s="28">
        <f t="shared" si="75"/>
        <v>2003.0625060507646</v>
      </c>
      <c r="F82" s="28">
        <f t="shared" si="81"/>
        <v>-1.5929965437644569</v>
      </c>
      <c r="G82" s="44">
        <v>2.3095469410310001E-3</v>
      </c>
      <c r="H82" s="28">
        <f t="shared" si="80"/>
        <v>2309.5469410310002</v>
      </c>
      <c r="I82" s="28">
        <f>'All Experimental Diel Data'!E59</f>
        <v>2300.2948600083573</v>
      </c>
      <c r="J82" s="28">
        <f t="shared" si="76"/>
        <v>2295.427719366161</v>
      </c>
      <c r="K82" s="28">
        <f t="shared" si="82"/>
        <v>14.119221664839188</v>
      </c>
      <c r="L82" s="27">
        <v>1.5616543813900001E-4</v>
      </c>
      <c r="M82" s="28">
        <f t="shared" si="77"/>
        <v>156.165438139</v>
      </c>
      <c r="N82" s="28">
        <f>'All Experimental Diel Data'!P59</f>
        <v>153.21755119097367</v>
      </c>
      <c r="O82" s="28">
        <f t="shared" si="78"/>
        <v>159.71316762136664</v>
      </c>
      <c r="P82" s="28">
        <f t="shared" si="83"/>
        <v>-3.5477294823666341</v>
      </c>
    </row>
    <row r="83" spans="1:16" x14ac:dyDescent="0.2">
      <c r="A83" s="25">
        <v>42818.08333333335</v>
      </c>
      <c r="B83" s="23">
        <v>2.0225069513159998E-3</v>
      </c>
      <c r="C83" s="28">
        <f t="shared" si="79"/>
        <v>2022.5069513159999</v>
      </c>
      <c r="D83" s="28">
        <f>'All Experimental Diel Data'!H60</f>
        <v>2036.4414316521506</v>
      </c>
      <c r="E83" s="28">
        <f t="shared" si="75"/>
        <v>2018.0640665615465</v>
      </c>
      <c r="F83" s="28">
        <f t="shared" si="81"/>
        <v>4.4428847544534165</v>
      </c>
      <c r="G83" s="44">
        <v>2.3180830788529999E-3</v>
      </c>
      <c r="H83" s="28">
        <f t="shared" si="80"/>
        <v>2318.0830788529997</v>
      </c>
      <c r="I83" s="28">
        <f>'All Experimental Diel Data'!E60</f>
        <v>2317.4703689463213</v>
      </c>
      <c r="J83" s="28">
        <f t="shared" si="76"/>
        <v>2311.0625340879201</v>
      </c>
      <c r="K83" s="28">
        <f t="shared" si="82"/>
        <v>7.0205447650796486</v>
      </c>
      <c r="L83" s="27">
        <v>1.50956038013E-4</v>
      </c>
      <c r="M83" s="28">
        <f t="shared" si="77"/>
        <v>150.95603801300001</v>
      </c>
      <c r="N83" s="28">
        <f>'All Experimental Diel Data'!P60</f>
        <v>148.36055433892241</v>
      </c>
      <c r="O83" s="28">
        <f t="shared" si="78"/>
        <v>154.96076005960381</v>
      </c>
      <c r="P83" s="28">
        <f t="shared" si="83"/>
        <v>-4.0047220466038027</v>
      </c>
    </row>
    <row r="84" spans="1:16" x14ac:dyDescent="0.2">
      <c r="A84" s="25">
        <v>42818.250000000015</v>
      </c>
      <c r="B84" s="23">
        <v>2.0449025388380002E-3</v>
      </c>
      <c r="C84" s="28">
        <f t="shared" si="79"/>
        <v>2044.9025388380003</v>
      </c>
      <c r="D84" s="28">
        <f>'All Experimental Diel Data'!H61</f>
        <v>2041.8931240345678</v>
      </c>
      <c r="E84" s="28">
        <f t="shared" si="75"/>
        <v>2023.3622376743092</v>
      </c>
      <c r="F84" s="28">
        <f t="shared" si="81"/>
        <v>21.540301163691083</v>
      </c>
      <c r="G84" s="44">
        <v>2.3273305490129998E-3</v>
      </c>
      <c r="H84" s="28">
        <f t="shared" si="80"/>
        <v>2327.3305490129997</v>
      </c>
      <c r="I84" s="28">
        <f>'All Experimental Diel Data'!E61</f>
        <v>2304.3622093265976</v>
      </c>
      <c r="J84" s="28">
        <f t="shared" si="76"/>
        <v>2299.1302153579272</v>
      </c>
      <c r="K84" s="28">
        <f t="shared" si="82"/>
        <v>28.200333655072427</v>
      </c>
      <c r="L84" s="27">
        <v>1.4743717267200001E-4</v>
      </c>
      <c r="M84" s="28">
        <f t="shared" si="77"/>
        <v>147.437172672</v>
      </c>
      <c r="N84" s="28">
        <f>'All Experimental Diel Data'!P61</f>
        <v>146.97165282010604</v>
      </c>
      <c r="O84" s="28">
        <f t="shared" si="78"/>
        <v>153.6017667800881</v>
      </c>
      <c r="P84" s="28">
        <f t="shared" si="83"/>
        <v>-6.1645941080880959</v>
      </c>
    </row>
    <row r="85" spans="1:16" x14ac:dyDescent="0.2">
      <c r="A85" s="25">
        <v>42818.33333333335</v>
      </c>
      <c r="B85" s="23">
        <v>2.0110135002829998E-3</v>
      </c>
      <c r="C85" s="28">
        <f t="shared" si="79"/>
        <v>2011.0135002829998</v>
      </c>
      <c r="D85" s="28">
        <f>'All Experimental Diel Data'!H62</f>
        <v>2010.6445183649041</v>
      </c>
      <c r="E85" s="28">
        <f t="shared" si="75"/>
        <v>1992.9936019810898</v>
      </c>
      <c r="F85" s="28">
        <f t="shared" si="81"/>
        <v>18.019898301909961</v>
      </c>
      <c r="G85" s="44">
        <v>2.313238031212E-3</v>
      </c>
      <c r="H85" s="28">
        <f t="shared" si="80"/>
        <v>2313.2380312119999</v>
      </c>
      <c r="I85" s="28">
        <f>'All Experimental Diel Data'!E62</f>
        <v>2312.9011677267604</v>
      </c>
      <c r="J85" s="28">
        <f t="shared" si="76"/>
        <v>2306.9032038024361</v>
      </c>
      <c r="K85" s="28">
        <f t="shared" si="82"/>
        <v>6.3348274095637862</v>
      </c>
      <c r="L85" s="27">
        <v>1.76345187157E-4</v>
      </c>
      <c r="M85" s="28">
        <f t="shared" si="77"/>
        <v>176.345187157</v>
      </c>
      <c r="N85" s="28">
        <f>'All Experimental Diel Data'!P62</f>
        <v>161.56617350276275</v>
      </c>
      <c r="O85" s="28">
        <f t="shared" si="78"/>
        <v>167.88201290033604</v>
      </c>
      <c r="P85" s="28">
        <f t="shared" si="83"/>
        <v>8.4631742566639616</v>
      </c>
    </row>
    <row r="86" spans="1:16" x14ac:dyDescent="0.2">
      <c r="A86" s="25">
        <v>42818.416666666686</v>
      </c>
      <c r="B86" s="23">
        <v>1.932304988151E-3</v>
      </c>
      <c r="C86" s="28">
        <f t="shared" si="79"/>
        <v>1932.3049881509999</v>
      </c>
      <c r="D86" s="28">
        <f>'All Experimental Diel Data'!H63</f>
        <v>1952.8528885412984</v>
      </c>
      <c r="E86" s="28">
        <f t="shared" si="75"/>
        <v>1936.829401543363</v>
      </c>
      <c r="F86" s="28">
        <f t="shared" si="81"/>
        <v>-4.524413392363158</v>
      </c>
      <c r="G86" s="44">
        <v>2.2830352107080002E-3</v>
      </c>
      <c r="H86" s="28">
        <f t="shared" si="80"/>
        <v>2283.0352107080002</v>
      </c>
      <c r="I86" s="28">
        <f>'All Experimental Diel Data'!E63</f>
        <v>2265.6358631668886</v>
      </c>
      <c r="J86" s="28">
        <f t="shared" si="76"/>
        <v>2263.8777375859627</v>
      </c>
      <c r="K86" s="28">
        <f t="shared" si="82"/>
        <v>19.157473122037572</v>
      </c>
      <c r="L86" s="27">
        <v>2.2795797836799999E-4</v>
      </c>
      <c r="M86" s="28">
        <f t="shared" si="77"/>
        <v>227.957978368</v>
      </c>
      <c r="N86" s="28">
        <f>'All Experimental Diel Data'!P63</f>
        <v>209.6221809690536</v>
      </c>
      <c r="O86" s="28">
        <f t="shared" si="78"/>
        <v>214.90319496564413</v>
      </c>
      <c r="P86" s="28">
        <f t="shared" si="83"/>
        <v>13.054783402355866</v>
      </c>
    </row>
    <row r="87" spans="1:16" x14ac:dyDescent="0.2">
      <c r="A87" s="25">
        <v>42818.5</v>
      </c>
      <c r="B87" s="23">
        <v>1.8766438530430001E-3</v>
      </c>
      <c r="C87" s="28">
        <f t="shared" si="79"/>
        <v>1876.643853043</v>
      </c>
      <c r="D87" s="28">
        <f>'All Experimental Diel Data'!H64</f>
        <v>1885.0612322148247</v>
      </c>
      <c r="E87" s="28">
        <f t="shared" si="75"/>
        <v>1870.9467783062803</v>
      </c>
      <c r="F87" s="28">
        <f t="shared" si="81"/>
        <v>5.6970747367197418</v>
      </c>
      <c r="G87" s="44">
        <v>2.2616447685170002E-3</v>
      </c>
      <c r="H87" s="28">
        <f t="shared" si="80"/>
        <v>2261.6447685170001</v>
      </c>
      <c r="I87" s="28">
        <f>'All Experimental Diel Data'!E64</f>
        <v>2270.9272227293977</v>
      </c>
      <c r="J87" s="28">
        <f t="shared" si="76"/>
        <v>2268.6944464639846</v>
      </c>
      <c r="K87" s="28">
        <f t="shared" si="82"/>
        <v>-7.0496779469845023</v>
      </c>
      <c r="L87" s="27">
        <v>2.5457409074599999E-4</v>
      </c>
      <c r="M87" s="28">
        <f t="shared" si="77"/>
        <v>254.574090746</v>
      </c>
      <c r="N87" s="28">
        <f>'All Experimental Diel Data'!P64</f>
        <v>250.38971521453539</v>
      </c>
      <c r="O87" s="28">
        <f t="shared" si="78"/>
        <v>254.79285187180989</v>
      </c>
      <c r="P87" s="28">
        <f t="shared" si="83"/>
        <v>-0.21876112580989115</v>
      </c>
    </row>
    <row r="88" spans="1:16" x14ac:dyDescent="0.2">
      <c r="B88" s="22"/>
      <c r="C88" s="17"/>
      <c r="D88" s="17"/>
      <c r="E88" s="17"/>
      <c r="F88" s="17"/>
      <c r="G88" s="22"/>
      <c r="H88" s="17"/>
      <c r="I88" s="17"/>
      <c r="J88" s="17"/>
      <c r="K88" s="17"/>
      <c r="L88" s="22"/>
      <c r="M88" s="17"/>
      <c r="N88" s="17"/>
    </row>
    <row r="89" spans="1:16" x14ac:dyDescent="0.2">
      <c r="B89" s="22"/>
      <c r="C89" s="17"/>
      <c r="D89" s="17"/>
      <c r="E89" s="17"/>
      <c r="F89" s="17"/>
      <c r="G89" s="22"/>
      <c r="H89" s="17"/>
      <c r="I89" s="22" t="s">
        <v>254</v>
      </c>
      <c r="J89" s="40">
        <f>SQRT(SUM((F76^2),(F77^2),(F78^2),(F79^2),(F80^2),(F81^2),(F82^2),(F83^2),(F84^2),(F85^2),(F86^2))/(COUNT(F76:F86)-1))</f>
        <v>15.28050421868744</v>
      </c>
      <c r="N89" s="17"/>
    </row>
    <row r="90" spans="1:16" x14ac:dyDescent="0.2">
      <c r="B90" s="22"/>
      <c r="C90" s="17"/>
      <c r="D90" s="17"/>
      <c r="E90" s="17"/>
      <c r="F90" s="17"/>
      <c r="G90" s="22"/>
      <c r="H90" s="17"/>
      <c r="I90" s="22" t="s">
        <v>255</v>
      </c>
      <c r="J90">
        <f>SQRT(SUM((K76^2),(K77^2),(K78^2),(K79^2),(K80^2),(K81^2),(K82^2),(K83^2),(K84^2),(K85^2),(K86^2))/(COUNT(K76:K86)-1))</f>
        <v>16.710103459200834</v>
      </c>
      <c r="N90" s="17"/>
    </row>
    <row r="91" spans="1:16" x14ac:dyDescent="0.2">
      <c r="B91" s="22"/>
      <c r="C91" s="17"/>
      <c r="D91" s="17"/>
      <c r="E91" s="17"/>
      <c r="F91" s="17"/>
      <c r="G91" s="22"/>
      <c r="H91" s="17"/>
      <c r="I91" s="22" t="s">
        <v>256</v>
      </c>
      <c r="J91">
        <f>SQRT(SUM((P76^2),(P77^2),(P78^2),(P79^2),(P80^2),(P81^2),(P82^2),(P83^2),(P84^2),(P85^2),(P86^2))/(COUNT(P76:P86)-1))</f>
        <v>6.7563568153820315</v>
      </c>
      <c r="N91" s="17"/>
    </row>
    <row r="92" spans="1:16" x14ac:dyDescent="0.2">
      <c r="B92" s="22"/>
      <c r="C92" s="17"/>
      <c r="D92" s="17"/>
      <c r="E92" s="17"/>
      <c r="F92" s="17"/>
      <c r="G92" s="22"/>
      <c r="H92" s="17"/>
      <c r="I92" s="17"/>
      <c r="J92" s="17"/>
      <c r="K92" s="17"/>
      <c r="L92" s="22"/>
      <c r="M92" s="17"/>
      <c r="N92" s="17"/>
    </row>
    <row r="93" spans="1:16" x14ac:dyDescent="0.2">
      <c r="B93" s="22"/>
      <c r="C93" s="17"/>
      <c r="D93" s="17"/>
      <c r="E93" s="17"/>
      <c r="F93" s="17"/>
      <c r="G93" s="22"/>
      <c r="H93" s="17"/>
      <c r="I93" s="17"/>
      <c r="J93" s="17"/>
      <c r="K93" s="17"/>
      <c r="L93" s="22"/>
      <c r="M93" s="17"/>
      <c r="N93" s="17"/>
    </row>
    <row r="94" spans="1:16" x14ac:dyDescent="0.2">
      <c r="B94" s="22"/>
      <c r="C94" s="17"/>
      <c r="D94" s="17"/>
      <c r="E94" s="17"/>
      <c r="F94" s="17"/>
      <c r="G94" s="22"/>
      <c r="H94" s="17"/>
      <c r="I94" s="17"/>
      <c r="J94" s="17"/>
      <c r="K94" s="17"/>
      <c r="L94" s="22"/>
      <c r="M94" s="17"/>
      <c r="N94" s="17"/>
    </row>
    <row r="95" spans="1:16" x14ac:dyDescent="0.2">
      <c r="B95" s="22"/>
      <c r="C95" s="17"/>
      <c r="D95" s="17"/>
      <c r="E95" s="17"/>
      <c r="F95" s="17"/>
      <c r="G95" s="22"/>
      <c r="H95" s="17"/>
      <c r="I95" s="17"/>
      <c r="J95" s="17"/>
      <c r="K95" s="17"/>
      <c r="L95" s="22"/>
      <c r="M95" s="17"/>
      <c r="N95" s="17"/>
    </row>
    <row r="96" spans="1:16" x14ac:dyDescent="0.2">
      <c r="B96" s="22"/>
      <c r="C96" s="17"/>
      <c r="D96" s="17"/>
      <c r="E96" s="17"/>
      <c r="F96" s="17"/>
      <c r="G96" s="22"/>
      <c r="H96" s="17"/>
      <c r="I96" s="17"/>
      <c r="J96" s="17"/>
      <c r="K96" s="17"/>
      <c r="L96" s="22"/>
      <c r="M96" s="17"/>
      <c r="N96" s="17"/>
    </row>
    <row r="97" spans="1:16" x14ac:dyDescent="0.2">
      <c r="B97" s="22"/>
      <c r="C97" s="17"/>
      <c r="D97" s="17"/>
      <c r="E97" s="17"/>
      <c r="F97" s="17"/>
      <c r="G97" s="22"/>
      <c r="H97" s="17"/>
      <c r="I97" s="17"/>
      <c r="J97" s="17"/>
      <c r="K97" s="17"/>
      <c r="L97" s="22"/>
      <c r="M97" s="17"/>
      <c r="N97" s="17"/>
    </row>
    <row r="98" spans="1:16" x14ac:dyDescent="0.2">
      <c r="B98" s="22"/>
      <c r="C98" s="17"/>
      <c r="D98" s="17"/>
      <c r="E98" s="17"/>
      <c r="F98" s="17"/>
      <c r="G98" s="22"/>
      <c r="H98" s="17"/>
      <c r="I98" s="17"/>
      <c r="J98" s="17"/>
      <c r="K98" s="17"/>
      <c r="L98" s="22"/>
      <c r="M98" s="17"/>
      <c r="N98" s="17"/>
    </row>
    <row r="99" spans="1:16" x14ac:dyDescent="0.2">
      <c r="B99" s="22"/>
      <c r="C99" s="17"/>
      <c r="D99" s="17"/>
      <c r="E99" s="17"/>
      <c r="F99" s="17"/>
      <c r="G99" s="22"/>
      <c r="H99" s="17"/>
      <c r="I99" s="17"/>
      <c r="J99" s="17"/>
      <c r="K99" s="17"/>
      <c r="L99" s="22"/>
      <c r="M99" s="17"/>
      <c r="N99" s="17"/>
    </row>
    <row r="100" spans="1:16" x14ac:dyDescent="0.2">
      <c r="B100" s="22"/>
      <c r="C100" s="17"/>
      <c r="D100" s="17"/>
      <c r="E100" s="17"/>
      <c r="F100" s="17"/>
      <c r="G100" s="22"/>
      <c r="H100" s="17"/>
      <c r="I100" s="17"/>
      <c r="J100" s="17"/>
      <c r="K100" s="17"/>
      <c r="L100" s="22"/>
      <c r="M100" s="17"/>
      <c r="N100" s="17"/>
    </row>
    <row r="101" spans="1:16" x14ac:dyDescent="0.2">
      <c r="B101" s="22"/>
      <c r="C101" s="17"/>
      <c r="D101" s="17"/>
      <c r="E101" s="17"/>
      <c r="F101" s="17"/>
      <c r="G101" s="22"/>
      <c r="H101" s="17"/>
      <c r="I101" s="17"/>
      <c r="J101" s="17"/>
      <c r="K101" s="17"/>
      <c r="L101" s="22"/>
      <c r="M101" s="17"/>
      <c r="N101" s="17"/>
    </row>
    <row r="102" spans="1:16" x14ac:dyDescent="0.2">
      <c r="A102" t="s">
        <v>126</v>
      </c>
      <c r="B102" s="22"/>
      <c r="C102" s="17"/>
      <c r="D102" s="17"/>
      <c r="E102" s="17"/>
      <c r="F102" s="17"/>
      <c r="G102" s="22"/>
      <c r="H102" s="17"/>
      <c r="I102" s="17"/>
      <c r="J102" s="17"/>
      <c r="K102" s="17"/>
      <c r="L102" s="22"/>
      <c r="M102" s="17"/>
      <c r="N102" s="17"/>
    </row>
    <row r="103" spans="1:16" x14ac:dyDescent="0.2">
      <c r="A103" s="29" t="s">
        <v>99</v>
      </c>
      <c r="B103" s="27" t="s">
        <v>130</v>
      </c>
      <c r="C103" s="28" t="s">
        <v>131</v>
      </c>
      <c r="D103" s="28" t="s">
        <v>132</v>
      </c>
      <c r="E103" s="23" t="s">
        <v>257</v>
      </c>
      <c r="F103" s="23" t="s">
        <v>260</v>
      </c>
      <c r="G103" s="27" t="s">
        <v>133</v>
      </c>
      <c r="H103" s="28" t="s">
        <v>131</v>
      </c>
      <c r="I103" s="28" t="s">
        <v>134</v>
      </c>
      <c r="J103" s="23" t="s">
        <v>258</v>
      </c>
      <c r="K103" s="23" t="s">
        <v>261</v>
      </c>
      <c r="L103" s="27" t="s">
        <v>135</v>
      </c>
      <c r="M103" s="28" t="s">
        <v>131</v>
      </c>
      <c r="N103" s="28" t="s">
        <v>136</v>
      </c>
      <c r="O103" s="23" t="s">
        <v>259</v>
      </c>
      <c r="P103" s="23" t="s">
        <v>262</v>
      </c>
    </row>
    <row r="104" spans="1:16" x14ac:dyDescent="0.2">
      <c r="A104" s="20">
        <v>42300.25</v>
      </c>
      <c r="B104" s="52">
        <v>2.0308281914519998E-3</v>
      </c>
      <c r="C104" s="28">
        <f>B104*10^6</f>
        <v>2030.8281914519998</v>
      </c>
      <c r="D104" s="28">
        <f>'All Experimental Diel Data'!H36</f>
        <v>2008.8060663213521</v>
      </c>
      <c r="E104" s="28">
        <f>SLOPE($C$105:$C$115,$D$105:$D$115)*D104+INTERCEPT($C$105:$C$115,$D$105:$D$115)</f>
        <v>2006.5607963772823</v>
      </c>
      <c r="F104" s="28">
        <f>C104-E104</f>
        <v>24.26739507471757</v>
      </c>
      <c r="G104" s="52">
        <v>2.3271661593260002E-3</v>
      </c>
      <c r="H104" s="28">
        <f>G104*10^6</f>
        <v>2327.1661593260001</v>
      </c>
      <c r="I104" s="28">
        <f>'All Experimental Diel Data'!E36</f>
        <v>2329.5669560263605</v>
      </c>
      <c r="J104" s="28">
        <f>SLOPE($H$105:$H$115,$I$105:$I$115)*I104+INTERCEPT($H$105:$H$115,$I$105:$I$115)</f>
        <v>2322.0296942916457</v>
      </c>
      <c r="K104" s="28">
        <f>H104-J104</f>
        <v>5.1364650343543872</v>
      </c>
      <c r="L104" s="27">
        <v>1.77356759466E-4</v>
      </c>
      <c r="M104" s="28">
        <f t="shared" ref="M104:M116" si="84">L104*10^6</f>
        <v>177.356759466</v>
      </c>
      <c r="N104" s="28">
        <f>'All Experimental Diel Data'!P36</f>
        <v>183.40102266850664</v>
      </c>
      <c r="O104" s="28">
        <f>SLOPE($M$105:$M$115,$N$105:$N$115)*N104+INTERCEPT($M$105:$M$115,$N$105:$N$115)</f>
        <v>184.05028177697687</v>
      </c>
      <c r="P104" s="28">
        <f>M104-O104</f>
        <v>-6.6935223109768742</v>
      </c>
    </row>
    <row r="105" spans="1:16" x14ac:dyDescent="0.2">
      <c r="A105" s="20">
        <v>42300.333333333336</v>
      </c>
      <c r="B105">
        <v>1.9935366146650001E-3</v>
      </c>
      <c r="C105" s="28">
        <f>B105*10^6</f>
        <v>1993.5366146650001</v>
      </c>
      <c r="D105" s="28">
        <f>'All Experimental Diel Data'!H37</f>
        <v>1993.743512361749</v>
      </c>
      <c r="E105" s="28">
        <f>SLOPE($C$105:$C$115,$D$105:$D$115)*D105+INTERCEPT($C$105:$C$115,$D$105:$D$115)</f>
        <v>1991.9489810649784</v>
      </c>
      <c r="F105" s="28">
        <f>C105-E105</f>
        <v>1.5876336000217179</v>
      </c>
      <c r="G105">
        <v>2.3140461174780001E-3</v>
      </c>
      <c r="H105" s="28">
        <f>G105*10^6</f>
        <v>2314.0461174780003</v>
      </c>
      <c r="I105" s="28">
        <f>'All Experimental Diel Data'!E37</f>
        <v>2334.2406354154577</v>
      </c>
      <c r="J105" s="28">
        <f>SLOPE($H$105:$H$115,$I$105:$I$115)*I105+INTERCEPT($H$105:$H$115,$I$105:$I$115)</f>
        <v>2325.5928458308863</v>
      </c>
      <c r="K105" s="28">
        <f>H105-J105</f>
        <v>-11.546728352886021</v>
      </c>
      <c r="L105" s="22">
        <v>1.9801738386699999E-4</v>
      </c>
      <c r="M105" s="28">
        <f t="shared" si="84"/>
        <v>198.01738386700001</v>
      </c>
      <c r="N105" s="28">
        <f>'All Experimental Diel Data'!P37</f>
        <v>196.36012403203611</v>
      </c>
      <c r="O105" s="28">
        <f>SLOPE($M$105:$M$115,$N$105:$N$115)*N105+INTERCEPT($M$105:$M$115,$N$105:$N$115)</f>
        <v>197.14659742034277</v>
      </c>
      <c r="P105" s="28">
        <f>M105-O105</f>
        <v>0.87078644665723459</v>
      </c>
    </row>
    <row r="106" spans="1:16" x14ac:dyDescent="0.2">
      <c r="A106" s="20">
        <v>42300.416666666664</v>
      </c>
      <c r="B106">
        <v>1.9623884291070002E-3</v>
      </c>
      <c r="C106" s="28">
        <f t="shared" ref="C106:C116" si="85">B106*10^6</f>
        <v>1962.3884291070001</v>
      </c>
      <c r="D106" s="28">
        <f>'All Experimental Diel Data'!H38</f>
        <v>1959.8859755760623</v>
      </c>
      <c r="E106" s="28">
        <f t="shared" ref="E106:E115" si="86">SLOPE($C$105:$C$115,$D$105:$D$115)*D106+INTERCEPT($C$105:$C$115,$D$105:$D$115)</f>
        <v>1959.1046124559889</v>
      </c>
      <c r="F106" s="28">
        <f t="shared" ref="F106:F115" si="87">C106-E106</f>
        <v>3.2838166510111932</v>
      </c>
      <c r="G106">
        <v>2.3041437376520001E-3</v>
      </c>
      <c r="H106" s="28">
        <f t="shared" ref="H106:H116" si="88">G106*10^6</f>
        <v>2304.1437376520003</v>
      </c>
      <c r="I106" s="28">
        <f>'All Experimental Diel Data'!E38</f>
        <v>2321.6077802950758</v>
      </c>
      <c r="J106" s="28">
        <f t="shared" ref="J106:J115" si="89">SLOPE($H$105:$H$115,$I$105:$I$115)*I106+INTERCEPT($H$105:$H$115,$I$105:$I$115)</f>
        <v>2315.9617236635854</v>
      </c>
      <c r="K106" s="28">
        <f t="shared" ref="K106:K115" si="90">H106-J106</f>
        <v>-11.817986011585162</v>
      </c>
      <c r="L106" s="22">
        <v>2.1224280940400001E-4</v>
      </c>
      <c r="M106" s="28">
        <f t="shared" si="84"/>
        <v>212.24280940400001</v>
      </c>
      <c r="N106" s="28">
        <f>'All Experimental Diel Data'!P38</f>
        <v>216.81693098303583</v>
      </c>
      <c r="O106" s="28">
        <f t="shared" ref="O106:O115" si="91">SLOPE($M$105:$M$115,$N$105:$N$115)*N106+INTERCEPT($M$105:$M$115,$N$105:$N$115)</f>
        <v>217.8200062756562</v>
      </c>
      <c r="P106" s="28">
        <f t="shared" ref="P106:P115" si="92">M106-O106</f>
        <v>-5.5771968716561844</v>
      </c>
    </row>
    <row r="107" spans="1:16" x14ac:dyDescent="0.2">
      <c r="A107" s="20">
        <v>42300.5</v>
      </c>
      <c r="B107">
        <v>1.9469941519969999E-3</v>
      </c>
      <c r="C107" s="28">
        <f t="shared" si="85"/>
        <v>1946.994151997</v>
      </c>
      <c r="D107" s="28">
        <f>'All Experimental Diel Data'!H39</f>
        <v>1938.822718355392</v>
      </c>
      <c r="E107" s="28">
        <f t="shared" si="86"/>
        <v>1938.6716616290962</v>
      </c>
      <c r="F107" s="28">
        <f t="shared" si="87"/>
        <v>8.3224903679038107</v>
      </c>
      <c r="G107">
        <v>2.2992384220590001E-3</v>
      </c>
      <c r="H107" s="28">
        <f t="shared" si="88"/>
        <v>2299.2384220590002</v>
      </c>
      <c r="I107" s="28">
        <f>'All Experimental Diel Data'!E39</f>
        <v>2292.788483324583</v>
      </c>
      <c r="J107" s="28">
        <f t="shared" si="89"/>
        <v>2293.9902716637343</v>
      </c>
      <c r="K107" s="28">
        <f t="shared" si="90"/>
        <v>5.2481503952658386</v>
      </c>
      <c r="L107" s="22">
        <v>2.1870649923700001E-4</v>
      </c>
      <c r="M107" s="28">
        <f t="shared" si="84"/>
        <v>218.706499237</v>
      </c>
      <c r="N107" s="28">
        <f>'All Experimental Diel Data'!P39</f>
        <v>224.11229311154705</v>
      </c>
      <c r="O107" s="28">
        <f t="shared" si="91"/>
        <v>225.19261356434703</v>
      </c>
      <c r="P107" s="28">
        <f t="shared" si="92"/>
        <v>-6.4861143273470248</v>
      </c>
    </row>
    <row r="108" spans="1:16" x14ac:dyDescent="0.2">
      <c r="A108" s="20">
        <v>42300.583333333336</v>
      </c>
      <c r="B108">
        <v>1.939400488077E-3</v>
      </c>
      <c r="C108" s="28">
        <f t="shared" si="85"/>
        <v>1939.4004880770001</v>
      </c>
      <c r="D108" s="28">
        <f>'All Experimental Diel Data'!H40</f>
        <v>1942.8118954710765</v>
      </c>
      <c r="E108" s="28">
        <f t="shared" si="86"/>
        <v>1942.5414648124593</v>
      </c>
      <c r="F108" s="28">
        <f t="shared" si="87"/>
        <v>-3.1409767354591622</v>
      </c>
      <c r="G108">
        <v>2.2968125260539999E-3</v>
      </c>
      <c r="H108" s="28">
        <f t="shared" si="88"/>
        <v>2296.812526054</v>
      </c>
      <c r="I108" s="28">
        <f>'All Experimental Diel Data'!E40</f>
        <v>2312.8589589113776</v>
      </c>
      <c r="J108" s="28">
        <f t="shared" si="89"/>
        <v>2309.2917376023706</v>
      </c>
      <c r="K108" s="28">
        <f t="shared" si="90"/>
        <v>-12.479211548370586</v>
      </c>
      <c r="L108" s="22">
        <v>2.2163887870700001E-4</v>
      </c>
      <c r="M108" s="28">
        <f t="shared" si="84"/>
        <v>221.638878707</v>
      </c>
      <c r="N108" s="28">
        <f>'All Experimental Diel Data'!P40</f>
        <v>221.6535489647701</v>
      </c>
      <c r="O108" s="28">
        <f t="shared" si="91"/>
        <v>222.70783560566153</v>
      </c>
      <c r="P108" s="28">
        <f t="shared" si="92"/>
        <v>-1.0689568986615257</v>
      </c>
    </row>
    <row r="109" spans="1:16" x14ac:dyDescent="0.2">
      <c r="A109" s="20">
        <v>42300.666666666664</v>
      </c>
      <c r="B109">
        <v>1.9356548447299999E-3</v>
      </c>
      <c r="C109" s="28">
        <f t="shared" si="85"/>
        <v>1935.6548447299999</v>
      </c>
      <c r="D109" s="28">
        <f>'All Experimental Diel Data'!H41</f>
        <v>1939.4402022267036</v>
      </c>
      <c r="E109" s="28">
        <f t="shared" si="86"/>
        <v>1939.2706676349919</v>
      </c>
      <c r="F109" s="28">
        <f t="shared" si="87"/>
        <v>-3.615822904992001</v>
      </c>
      <c r="G109">
        <v>2.2956129202060002E-3</v>
      </c>
      <c r="H109" s="28">
        <f t="shared" si="88"/>
        <v>2295.6129202060001</v>
      </c>
      <c r="I109" s="28">
        <f>'All Experimental Diel Data'!E41</f>
        <v>2297.7579909937281</v>
      </c>
      <c r="J109" s="28">
        <f t="shared" si="89"/>
        <v>2297.7789587828997</v>
      </c>
      <c r="K109" s="28">
        <f t="shared" si="90"/>
        <v>-2.1660385768996093</v>
      </c>
      <c r="L109" s="22">
        <v>2.2296920272700001E-4</v>
      </c>
      <c r="M109" s="28">
        <f t="shared" si="84"/>
        <v>222.96920272700001</v>
      </c>
      <c r="N109" s="28">
        <f>'All Experimental Diel Data'!P41</f>
        <v>217.05323645605986</v>
      </c>
      <c r="O109" s="28">
        <f t="shared" si="91"/>
        <v>218.05881381146938</v>
      </c>
      <c r="P109" s="28">
        <f t="shared" si="92"/>
        <v>4.9103889155306319</v>
      </c>
    </row>
    <row r="110" spans="1:16" x14ac:dyDescent="0.2">
      <c r="A110" s="20">
        <v>42300.739583333336</v>
      </c>
      <c r="B110">
        <v>1.943193861299E-3</v>
      </c>
      <c r="C110" s="28">
        <f t="shared" si="85"/>
        <v>1943.193861299</v>
      </c>
      <c r="D110" s="28">
        <f>'All Experimental Diel Data'!H42</f>
        <v>1949.7016402324077</v>
      </c>
      <c r="E110" s="28">
        <f t="shared" si="86"/>
        <v>1949.2250377491262</v>
      </c>
      <c r="F110" s="28">
        <f t="shared" si="87"/>
        <v>-6.0311764501261678</v>
      </c>
      <c r="G110">
        <v>2.2974540058069998E-3</v>
      </c>
      <c r="H110" s="28">
        <f t="shared" si="88"/>
        <v>2297.4540058069997</v>
      </c>
      <c r="I110" s="28">
        <f>'All Experimental Diel Data'!E42</f>
        <v>2298.2239937199056</v>
      </c>
      <c r="J110" s="28">
        <f t="shared" si="89"/>
        <v>2298.1342331166384</v>
      </c>
      <c r="K110" s="28">
        <f t="shared" si="90"/>
        <v>-0.68022730963866707</v>
      </c>
      <c r="L110" s="22">
        <v>2.2008706510000001E-4</v>
      </c>
      <c r="M110" s="28">
        <f t="shared" si="84"/>
        <v>220.08706510000002</v>
      </c>
      <c r="N110" s="28">
        <f>'All Experimental Diel Data'!P42</f>
        <v>206.4929874121699</v>
      </c>
      <c r="O110" s="28">
        <f t="shared" si="91"/>
        <v>207.38675014966702</v>
      </c>
      <c r="P110" s="28">
        <f t="shared" si="92"/>
        <v>12.700314950332995</v>
      </c>
    </row>
    <row r="111" spans="1:16" x14ac:dyDescent="0.2">
      <c r="A111" s="20">
        <v>42300.916666666664</v>
      </c>
      <c r="B111">
        <v>2.0132030044579998E-3</v>
      </c>
      <c r="C111" s="28">
        <f t="shared" si="85"/>
        <v>2013.2030044579999</v>
      </c>
      <c r="D111" s="28">
        <f>'All Experimental Diel Data'!H43</f>
        <v>2019.3828183873397</v>
      </c>
      <c r="E111" s="28">
        <f t="shared" si="86"/>
        <v>2016.8210449517753</v>
      </c>
      <c r="F111" s="28">
        <f t="shared" si="87"/>
        <v>-3.6180404937754247</v>
      </c>
      <c r="G111">
        <v>2.321341838517E-3</v>
      </c>
      <c r="H111" s="28">
        <f t="shared" si="88"/>
        <v>2321.3418385169998</v>
      </c>
      <c r="I111" s="28">
        <f>'All Experimental Diel Data'!E43</f>
        <v>2322.6723603784644</v>
      </c>
      <c r="J111" s="28">
        <f t="shared" si="89"/>
        <v>2316.7733454816375</v>
      </c>
      <c r="K111" s="28">
        <f t="shared" si="90"/>
        <v>4.5684930353622804</v>
      </c>
      <c r="L111" s="22">
        <v>1.8419802747999999E-4</v>
      </c>
      <c r="M111" s="28">
        <f t="shared" si="84"/>
        <v>184.19802747999998</v>
      </c>
      <c r="N111" s="28">
        <f>'All Experimental Diel Data'!P43</f>
        <v>183.37771079293307</v>
      </c>
      <c r="O111" s="28">
        <f t="shared" si="91"/>
        <v>184.02672306930216</v>
      </c>
      <c r="P111" s="28">
        <f t="shared" si="92"/>
        <v>0.17130441069781455</v>
      </c>
    </row>
    <row r="112" spans="1:16" x14ac:dyDescent="0.2">
      <c r="A112" s="20">
        <v>42301.00277777778</v>
      </c>
      <c r="B112">
        <v>2.023998834782E-3</v>
      </c>
      <c r="C112" s="28">
        <f t="shared" si="85"/>
        <v>2023.9988347819999</v>
      </c>
      <c r="D112" s="28">
        <f>'All Experimental Diel Data'!H44</f>
        <v>2021.0342018176016</v>
      </c>
      <c r="E112" s="28">
        <f t="shared" si="86"/>
        <v>2018.4230116406582</v>
      </c>
      <c r="F112" s="28">
        <f t="shared" si="87"/>
        <v>5.5758231413417434</v>
      </c>
      <c r="G112">
        <v>2.3250862387230002E-3</v>
      </c>
      <c r="H112" s="28">
        <f t="shared" si="88"/>
        <v>2325.0862387230004</v>
      </c>
      <c r="I112" s="28">
        <f>'All Experimental Diel Data'!E44</f>
        <v>2328.096054024089</v>
      </c>
      <c r="J112" s="28">
        <f t="shared" si="89"/>
        <v>2320.9082980003873</v>
      </c>
      <c r="K112" s="28">
        <f t="shared" si="90"/>
        <v>4.1779407226131298</v>
      </c>
      <c r="L112" s="22">
        <v>1.7936947102799999E-4</v>
      </c>
      <c r="M112" s="28">
        <f t="shared" si="84"/>
        <v>179.36947102799999</v>
      </c>
      <c r="N112" s="28">
        <f>'All Experimental Diel Data'!P44</f>
        <v>181.50262897075376</v>
      </c>
      <c r="O112" s="28">
        <f t="shared" si="91"/>
        <v>182.1317874011927</v>
      </c>
      <c r="P112" s="28">
        <f t="shared" si="92"/>
        <v>-2.7623163731927036</v>
      </c>
    </row>
    <row r="113" spans="1:16" x14ac:dyDescent="0.2">
      <c r="A113" s="20">
        <v>42301.086111111108</v>
      </c>
      <c r="B113">
        <v>2.0290815519689999E-3</v>
      </c>
      <c r="C113" s="28">
        <f t="shared" si="85"/>
        <v>2029.081551969</v>
      </c>
      <c r="D113" s="28">
        <f>'All Experimental Diel Data'!H45</f>
        <v>2035.5308006069633</v>
      </c>
      <c r="E113" s="28">
        <f t="shared" si="86"/>
        <v>2032.4858076800829</v>
      </c>
      <c r="F113" s="28">
        <f t="shared" si="87"/>
        <v>-3.4042557110828966</v>
      </c>
      <c r="G113">
        <v>2.3268549021059999E-3</v>
      </c>
      <c r="H113" s="28">
        <f t="shared" si="88"/>
        <v>2326.8549021059998</v>
      </c>
      <c r="I113" s="28">
        <f>'All Experimental Diel Data'!E45</f>
        <v>2327.0080325198728</v>
      </c>
      <c r="J113" s="28">
        <f t="shared" si="89"/>
        <v>2320.0788047521946</v>
      </c>
      <c r="K113" s="28">
        <f t="shared" si="90"/>
        <v>6.7760973538051985</v>
      </c>
      <c r="L113" s="22">
        <v>1.76354485807E-4</v>
      </c>
      <c r="M113" s="28">
        <f t="shared" si="84"/>
        <v>176.354485807</v>
      </c>
      <c r="N113" s="28">
        <f>'All Experimental Diel Data'!P45</f>
        <v>177.32279036097614</v>
      </c>
      <c r="O113" s="28">
        <f t="shared" si="91"/>
        <v>177.90769159112131</v>
      </c>
      <c r="P113" s="28">
        <f t="shared" si="92"/>
        <v>-1.5532057841213032</v>
      </c>
    </row>
    <row r="114" spans="1:16" x14ac:dyDescent="0.2">
      <c r="A114" s="20">
        <v>42301.166666666664</v>
      </c>
      <c r="B114">
        <v>2.031528859746E-3</v>
      </c>
      <c r="C114" s="28">
        <f t="shared" si="85"/>
        <v>2031.5288597460001</v>
      </c>
      <c r="D114" s="28">
        <f>'All Experimental Diel Data'!H46</f>
        <v>2031.297001150198</v>
      </c>
      <c r="E114" s="28">
        <f t="shared" si="86"/>
        <v>2028.3787023447258</v>
      </c>
      <c r="F114" s="28">
        <f t="shared" si="87"/>
        <v>3.1501574012743276</v>
      </c>
      <c r="G114">
        <v>2.3277092560710002E-3</v>
      </c>
      <c r="H114" s="28">
        <f t="shared" si="88"/>
        <v>2327.7092560710003</v>
      </c>
      <c r="I114" s="28">
        <f>'All Experimental Diel Data'!E46</f>
        <v>2322.8858859025718</v>
      </c>
      <c r="J114" s="28">
        <f t="shared" si="89"/>
        <v>2316.9361345256752</v>
      </c>
      <c r="K114" s="28">
        <f t="shared" si="90"/>
        <v>10.773121545325012</v>
      </c>
      <c r="L114" s="22">
        <v>1.7630916156099999E-4</v>
      </c>
      <c r="M114" s="28">
        <f t="shared" si="84"/>
        <v>176.309161561</v>
      </c>
      <c r="N114" s="28">
        <f>'All Experimental Diel Data'!P46</f>
        <v>177.36487950702622</v>
      </c>
      <c r="O114" s="28">
        <f t="shared" si="91"/>
        <v>177.95022638781504</v>
      </c>
      <c r="P114" s="28">
        <f t="shared" si="92"/>
        <v>-1.6410648268150396</v>
      </c>
    </row>
    <row r="115" spans="1:16" x14ac:dyDescent="0.2">
      <c r="A115" s="20">
        <v>42301.25</v>
      </c>
      <c r="B115">
        <v>2.0308281914519998E-3</v>
      </c>
      <c r="C115" s="28">
        <f t="shared" si="85"/>
        <v>2030.8281914519998</v>
      </c>
      <c r="D115" s="28">
        <f>'All Experimental Diel Data'!H47</f>
        <v>2035.9967773426665</v>
      </c>
      <c r="E115" s="28">
        <f t="shared" si="86"/>
        <v>2032.9378403181192</v>
      </c>
      <c r="F115" s="28">
        <f t="shared" si="87"/>
        <v>-2.1096488661194144</v>
      </c>
      <c r="G115">
        <v>2.3271661593260002E-3</v>
      </c>
      <c r="H115" s="28">
        <f t="shared" si="88"/>
        <v>2327.1661593260001</v>
      </c>
      <c r="I115" s="28">
        <f>'All Experimental Diel Data'!E47</f>
        <v>2326.9305991591141</v>
      </c>
      <c r="J115" s="28">
        <f t="shared" si="89"/>
        <v>2320.019770578986</v>
      </c>
      <c r="K115" s="28">
        <f t="shared" si="90"/>
        <v>7.1463887470140435</v>
      </c>
      <c r="L115" s="22">
        <v>1.77356759466E-4</v>
      </c>
      <c r="M115" s="28">
        <f t="shared" si="84"/>
        <v>177.356759466</v>
      </c>
      <c r="N115" s="28">
        <f>'All Experimental Diel Data'!P47</f>
        <v>176.3461389126166</v>
      </c>
      <c r="O115" s="28">
        <f t="shared" si="91"/>
        <v>176.92069910742461</v>
      </c>
      <c r="P115" s="28">
        <f t="shared" si="92"/>
        <v>0.43606035857538927</v>
      </c>
    </row>
    <row r="116" spans="1:16" x14ac:dyDescent="0.2">
      <c r="A116" s="20">
        <v>42301.354166666664</v>
      </c>
      <c r="B116">
        <v>1.983612107133E-3</v>
      </c>
      <c r="C116" s="28">
        <f t="shared" si="85"/>
        <v>1983.6121071330001</v>
      </c>
      <c r="D116" s="28">
        <f>'All Experimental Diel Data'!H48</f>
        <v>2003.5025227490482</v>
      </c>
      <c r="E116" s="28" t="s">
        <v>195</v>
      </c>
      <c r="F116" s="28" t="s">
        <v>195</v>
      </c>
      <c r="G116">
        <v>2.310891947944E-3</v>
      </c>
      <c r="H116" s="28">
        <f t="shared" si="88"/>
        <v>2310.8919479440001</v>
      </c>
      <c r="I116" s="28">
        <f>'All Experimental Diel Data'!E48</f>
        <v>2308.6159495339421</v>
      </c>
      <c r="J116" s="28" t="s">
        <v>195</v>
      </c>
      <c r="K116" s="17"/>
      <c r="L116" s="22">
        <v>2.0267541019699999E-4</v>
      </c>
      <c r="M116" s="28">
        <f t="shared" si="84"/>
        <v>202.67541019699999</v>
      </c>
      <c r="N116" s="28">
        <f>'All Experimental Diel Data'!P48</f>
        <v>197.55002575364011</v>
      </c>
      <c r="O116" t="s">
        <v>195</v>
      </c>
      <c r="P116" s="28" t="s">
        <v>195</v>
      </c>
    </row>
    <row r="117" spans="1:16" x14ac:dyDescent="0.2">
      <c r="A117" s="20"/>
      <c r="B117" s="22"/>
      <c r="C117" s="17"/>
      <c r="D117" s="17"/>
      <c r="E117" s="17"/>
      <c r="F117" s="17"/>
      <c r="G117" s="22"/>
      <c r="H117" s="17"/>
      <c r="I117" s="17"/>
      <c r="J117" s="17"/>
      <c r="K117" s="17"/>
      <c r="L117" s="22"/>
      <c r="M117" s="17"/>
      <c r="N117" s="17"/>
    </row>
    <row r="118" spans="1:16" x14ac:dyDescent="0.2">
      <c r="B118" s="22"/>
      <c r="C118" s="17"/>
      <c r="D118" s="17"/>
      <c r="E118" s="17"/>
      <c r="F118" s="17"/>
      <c r="G118" s="22"/>
      <c r="H118" s="17"/>
      <c r="I118" s="17"/>
      <c r="J118" s="17"/>
      <c r="K118" s="22" t="s">
        <v>254</v>
      </c>
      <c r="L118" s="40">
        <f>SQRT(SUM((F105^2),(F106^2),(F107^2),(F108^2),(F109^2),(F110^2),(F111^2),(F112^2),(F113^2),(F114^2),(F115^2))/(COUNT(F106:F115)-1))</f>
        <v>4.8537038014561471</v>
      </c>
      <c r="M118" s="17"/>
      <c r="N118" s="17"/>
    </row>
    <row r="119" spans="1:16" x14ac:dyDescent="0.2">
      <c r="B119" s="22"/>
      <c r="C119" s="17"/>
      <c r="D119" s="17"/>
      <c r="E119" s="17"/>
      <c r="F119" s="17"/>
      <c r="G119" s="22"/>
      <c r="H119" s="17"/>
      <c r="I119" s="17"/>
      <c r="J119" s="17"/>
      <c r="K119" s="22" t="s">
        <v>255</v>
      </c>
      <c r="L119">
        <f>SQRT(SUM((K105^2),(K106^2),(K107^2),(K108^2),(K109^2),(K110^2),(K111^2),(K112^2),(K113^2),(K114^2),(K115^2))/(COUNT(K105:K115)-1))</f>
        <v>8.4427057118730513</v>
      </c>
      <c r="M119" s="17"/>
      <c r="N119" s="17"/>
    </row>
    <row r="120" spans="1:16" x14ac:dyDescent="0.2">
      <c r="B120" s="22"/>
      <c r="C120" s="17"/>
      <c r="D120" s="17"/>
      <c r="E120" s="17"/>
      <c r="F120" s="17"/>
      <c r="G120" s="22"/>
      <c r="H120" s="17"/>
      <c r="I120" s="17"/>
      <c r="J120" s="17"/>
      <c r="K120" s="22" t="s">
        <v>256</v>
      </c>
      <c r="L120">
        <f>SQRT(SUM((P105^2),(P106^2),(P107^2),(P108^2),(P109^2),(P110^2),(P111^2),(P112^2),(P113^2),(P114^2),(P115^2))/(COUNT(P105:P115)-1))</f>
        <v>5.2291594792625613</v>
      </c>
      <c r="M120" s="17"/>
      <c r="N120" s="17"/>
    </row>
    <row r="121" spans="1:16" x14ac:dyDescent="0.2">
      <c r="B121" s="22"/>
      <c r="C121" s="17"/>
      <c r="D121" s="17"/>
      <c r="E121" s="17"/>
      <c r="F121" s="17"/>
      <c r="G121" s="22"/>
      <c r="H121" s="17"/>
      <c r="I121" s="17"/>
      <c r="J121" s="17"/>
      <c r="K121" s="17"/>
      <c r="L121" s="22"/>
      <c r="M121" s="17"/>
      <c r="N121" s="17"/>
    </row>
    <row r="122" spans="1:16" x14ac:dyDescent="0.2">
      <c r="B122" s="22"/>
      <c r="C122" s="17"/>
      <c r="D122" s="17"/>
      <c r="E122" s="17"/>
      <c r="F122" s="17"/>
      <c r="G122" s="22"/>
      <c r="H122" s="17"/>
      <c r="I122" s="17"/>
      <c r="J122" s="17"/>
      <c r="K122" s="17"/>
      <c r="L122" s="22"/>
      <c r="M122" s="17"/>
      <c r="N122" s="17"/>
    </row>
    <row r="123" spans="1:16" x14ac:dyDescent="0.2">
      <c r="B123" s="22"/>
      <c r="C123" s="17"/>
      <c r="D123" s="17"/>
      <c r="E123" s="17"/>
      <c r="F123" s="17"/>
      <c r="G123" s="22"/>
      <c r="H123" s="17"/>
      <c r="I123" s="17"/>
      <c r="J123" s="17"/>
      <c r="K123" s="17"/>
      <c r="L123" s="22"/>
      <c r="M123" s="17"/>
      <c r="N123" s="17"/>
    </row>
    <row r="124" spans="1:16" x14ac:dyDescent="0.2">
      <c r="B124" s="22"/>
      <c r="C124" s="17"/>
      <c r="D124" s="17"/>
      <c r="E124" s="17"/>
      <c r="F124" s="17"/>
      <c r="G124" s="22"/>
      <c r="H124" s="17"/>
      <c r="I124" s="17"/>
      <c r="J124" s="17"/>
      <c r="K124" s="17"/>
      <c r="L124" s="22"/>
      <c r="M124" s="17"/>
      <c r="N124" s="17"/>
    </row>
    <row r="125" spans="1:16" x14ac:dyDescent="0.2">
      <c r="B125" s="22"/>
      <c r="C125" s="17"/>
      <c r="D125" s="17"/>
      <c r="E125" s="17"/>
      <c r="F125" s="17"/>
      <c r="G125" s="22"/>
      <c r="H125" s="17"/>
      <c r="I125" s="17"/>
      <c r="J125" s="17"/>
      <c r="K125" s="17"/>
      <c r="L125" s="22"/>
      <c r="M125" s="17"/>
      <c r="N125" s="17"/>
    </row>
    <row r="126" spans="1:16" x14ac:dyDescent="0.2">
      <c r="B126" s="22"/>
      <c r="C126" s="17"/>
      <c r="D126" s="17"/>
      <c r="E126" s="17"/>
      <c r="F126" s="17"/>
      <c r="G126" s="22"/>
      <c r="H126" s="17"/>
      <c r="I126" s="17"/>
      <c r="J126" s="17"/>
      <c r="K126" s="17"/>
      <c r="L126" s="22"/>
      <c r="M126" s="17"/>
      <c r="N126" s="17"/>
    </row>
    <row r="127" spans="1:16" x14ac:dyDescent="0.2">
      <c r="B127" s="22"/>
      <c r="C127" s="17"/>
      <c r="D127" s="17"/>
      <c r="E127" s="17"/>
      <c r="F127" s="17"/>
      <c r="G127" s="22"/>
      <c r="H127" s="17"/>
      <c r="I127" s="17"/>
      <c r="J127" s="17"/>
      <c r="K127" s="17"/>
      <c r="L127" s="22"/>
      <c r="M127" s="17"/>
      <c r="N127" s="17"/>
    </row>
    <row r="128" spans="1:16" x14ac:dyDescent="0.2">
      <c r="B128" s="22"/>
      <c r="C128" s="17"/>
      <c r="D128" s="17"/>
      <c r="E128" s="17"/>
      <c r="F128" s="17"/>
      <c r="G128" s="22"/>
      <c r="H128" s="17"/>
      <c r="I128" s="17"/>
      <c r="J128" s="17"/>
      <c r="K128" s="17"/>
      <c r="L128" s="22"/>
      <c r="M128" s="17"/>
      <c r="N128" s="17"/>
    </row>
    <row r="129" spans="1:16" x14ac:dyDescent="0.2">
      <c r="B129" s="22"/>
      <c r="C129" s="17"/>
      <c r="D129" s="17"/>
      <c r="E129" s="17"/>
      <c r="F129" s="17"/>
      <c r="G129" s="22"/>
      <c r="H129" s="17"/>
      <c r="I129" s="17"/>
      <c r="J129" s="17"/>
      <c r="K129" s="17"/>
      <c r="L129" s="22"/>
      <c r="M129" s="17"/>
      <c r="N129" s="17"/>
    </row>
    <row r="130" spans="1:16" x14ac:dyDescent="0.2">
      <c r="B130" s="22"/>
      <c r="C130" s="17"/>
      <c r="D130" s="17"/>
      <c r="E130" s="17"/>
      <c r="F130" s="17"/>
      <c r="G130" s="22"/>
      <c r="H130" s="17"/>
      <c r="I130" s="17"/>
      <c r="J130" s="17"/>
      <c r="K130" s="17"/>
      <c r="L130" s="22"/>
      <c r="M130" s="17"/>
      <c r="N130" s="17"/>
    </row>
    <row r="131" spans="1:16" x14ac:dyDescent="0.2">
      <c r="B131" s="22"/>
      <c r="C131" s="17"/>
      <c r="D131" s="17"/>
      <c r="E131" s="17"/>
      <c r="F131" s="17"/>
      <c r="G131" s="22"/>
      <c r="H131" s="17"/>
      <c r="I131" s="17"/>
      <c r="J131" s="17"/>
      <c r="K131" s="17"/>
      <c r="L131" s="22"/>
      <c r="M131" s="17"/>
      <c r="N131" s="17"/>
    </row>
    <row r="132" spans="1:16" x14ac:dyDescent="0.2">
      <c r="A132" t="s">
        <v>127</v>
      </c>
      <c r="B132" s="22"/>
      <c r="C132" s="17"/>
      <c r="D132" s="17"/>
      <c r="E132" s="17"/>
      <c r="F132" s="17"/>
      <c r="G132" s="22"/>
      <c r="H132" s="17"/>
      <c r="I132" s="17"/>
      <c r="J132" s="17"/>
      <c r="K132" s="17"/>
      <c r="L132" s="22"/>
      <c r="M132" s="17"/>
      <c r="N132" s="17"/>
    </row>
    <row r="133" spans="1:16" x14ac:dyDescent="0.2">
      <c r="A133" s="29" t="s">
        <v>99</v>
      </c>
      <c r="B133" s="27" t="s">
        <v>130</v>
      </c>
      <c r="C133" s="28" t="s">
        <v>131</v>
      </c>
      <c r="D133" s="28" t="s">
        <v>132</v>
      </c>
      <c r="E133" s="23" t="s">
        <v>257</v>
      </c>
      <c r="F133" s="23" t="s">
        <v>260</v>
      </c>
      <c r="G133" s="27" t="s">
        <v>133</v>
      </c>
      <c r="H133" s="28" t="s">
        <v>131</v>
      </c>
      <c r="I133" s="28" t="s">
        <v>134</v>
      </c>
      <c r="J133" s="23" t="s">
        <v>258</v>
      </c>
      <c r="K133" s="23" t="s">
        <v>261</v>
      </c>
      <c r="L133" s="27" t="s">
        <v>135</v>
      </c>
      <c r="M133" s="28" t="s">
        <v>131</v>
      </c>
      <c r="N133" s="28" t="s">
        <v>136</v>
      </c>
      <c r="O133" s="23" t="s">
        <v>259</v>
      </c>
      <c r="P133" s="23" t="s">
        <v>262</v>
      </c>
    </row>
    <row r="134" spans="1:16" x14ac:dyDescent="0.2">
      <c r="A134" s="25">
        <v>41958.25</v>
      </c>
      <c r="B134">
        <v>2.088314495845E-3</v>
      </c>
      <c r="C134" s="17">
        <f>B134*10^6</f>
        <v>2088.3144958450002</v>
      </c>
      <c r="D134" s="17">
        <f>'All Experimental Diel Data'!H19</f>
        <v>2087.0887834821428</v>
      </c>
      <c r="E134" s="28">
        <f>SLOPE($C$134:$C$143,$D$134:$D$143)*D134+INTERCEPT($C$134:$C$143,$D$134:$D$143)</f>
        <v>2081.0183868205268</v>
      </c>
      <c r="F134" s="28">
        <f>C134-E134</f>
        <v>7.2961090244734805</v>
      </c>
      <c r="G134">
        <v>2.3326996806849998E-3</v>
      </c>
      <c r="H134" s="17">
        <f>G134*10^6</f>
        <v>2332.6996806849997</v>
      </c>
      <c r="I134" s="17">
        <f>'All Experimental Diel Data'!E19</f>
        <v>2326.9968749999998</v>
      </c>
      <c r="J134" s="28">
        <f>SLOPE($H$134:$H$143,$I$134:$I$143)*I134+INTERCEPT($H$134:$H$143,$I$134:$I$143)</f>
        <v>2322.3642841120613</v>
      </c>
      <c r="K134" s="28">
        <f>H134-J134</f>
        <v>10.335396572938407</v>
      </c>
      <c r="L134" s="22">
        <v>1.6450135706E-4</v>
      </c>
      <c r="M134" s="17">
        <f t="shared" ref="M134:M144" si="93">L134*10^6</f>
        <v>164.50135706</v>
      </c>
      <c r="N134" s="17">
        <f>'All Experimental Diel Data'!P19</f>
        <v>206.49588448660711</v>
      </c>
      <c r="O134" s="28">
        <f>SLOPE($M$134:$M$143,$N$134:$N$143)*N134+INTERCEPT($M$134:$M$143,$N$134:$N$143)</f>
        <v>205.55636130443676</v>
      </c>
      <c r="P134" s="28">
        <f>M134-O134</f>
        <v>-41.055004244436759</v>
      </c>
    </row>
    <row r="135" spans="1:16" x14ac:dyDescent="0.2">
      <c r="A135" s="25">
        <v>41958.333333333299</v>
      </c>
      <c r="B135">
        <v>2.024570268126E-3</v>
      </c>
      <c r="C135" s="17">
        <f t="shared" ref="C135:C144" si="94">B135*10^6</f>
        <v>2024.570268126</v>
      </c>
      <c r="D135" s="17">
        <f>'All Experimental Diel Data'!H20</f>
        <v>2036.9003634330443</v>
      </c>
      <c r="E135" s="28">
        <f t="shared" ref="E135:E144" si="95">SLOPE($C$134:$C$143,$D$134:$D$143)*D135+INTERCEPT($C$134:$C$143,$D$134:$D$143)</f>
        <v>2030.8973815962688</v>
      </c>
      <c r="F135" s="28">
        <f t="shared" ref="F135:F144" si="96">C135-E135</f>
        <v>-6.3271134702688414</v>
      </c>
      <c r="G135">
        <v>2.3132169104799999E-3</v>
      </c>
      <c r="H135" s="17">
        <f t="shared" ref="H135:H144" si="97">G135*10^6</f>
        <v>2313.21691048</v>
      </c>
      <c r="I135" s="17">
        <f>'All Experimental Diel Data'!E20</f>
        <v>2326.3846798993563</v>
      </c>
      <c r="J135" s="28">
        <f t="shared" ref="J135:J144" si="98">SLOPE($H$134:$H$143,$I$134:$I$143)*I135+INTERCEPT($H$134:$H$143,$I$134:$I$143)</f>
        <v>2321.7697666699901</v>
      </c>
      <c r="K135" s="28">
        <f t="shared" ref="K135:K144" si="99">H135-J135</f>
        <v>-8.5528561899900524</v>
      </c>
      <c r="L135" s="22">
        <v>2.0751026865899999E-4</v>
      </c>
      <c r="M135" s="17">
        <f t="shared" si="93"/>
        <v>207.51026865899999</v>
      </c>
      <c r="N135" s="17">
        <f>'All Experimental Diel Data'!P20</f>
        <v>198.85902991333518</v>
      </c>
      <c r="O135" s="28">
        <f t="shared" ref="O135:O144" si="100">SLOPE($M$134:$M$143,$N$134:$N$143)*N135+INTERCEPT($M$134:$M$143,$N$134:$N$143)</f>
        <v>198.15232215355201</v>
      </c>
      <c r="P135" s="28">
        <f t="shared" ref="P135:P144" si="101">M135-O135</f>
        <v>9.357946505447984</v>
      </c>
    </row>
    <row r="136" spans="1:16" x14ac:dyDescent="0.2">
      <c r="A136" s="25">
        <v>41958.416666666701</v>
      </c>
      <c r="B136">
        <v>1.9779993945269999E-3</v>
      </c>
      <c r="C136" s="17">
        <f t="shared" si="94"/>
        <v>1977.9993945269998</v>
      </c>
      <c r="D136" s="17">
        <f>'All Experimental Diel Data'!H21</f>
        <v>1980.4795302013422</v>
      </c>
      <c r="E136" s="28">
        <f t="shared" si="95"/>
        <v>1974.5523347827473</v>
      </c>
      <c r="F136" s="28">
        <f t="shared" si="96"/>
        <v>3.4470597442525559</v>
      </c>
      <c r="G136">
        <v>2.3003298772860002E-3</v>
      </c>
      <c r="H136" s="17">
        <f t="shared" si="97"/>
        <v>2300.3298772860003</v>
      </c>
      <c r="I136" s="17">
        <f>'All Experimental Diel Data'!E21</f>
        <v>2302.3859060402688</v>
      </c>
      <c r="J136" s="28">
        <f t="shared" si="98"/>
        <v>2298.4639779883032</v>
      </c>
      <c r="K136" s="28">
        <f t="shared" si="99"/>
        <v>1.8658992976970694</v>
      </c>
      <c r="L136" s="22">
        <v>2.35429602955E-4</v>
      </c>
      <c r="M136" s="17">
        <f t="shared" si="93"/>
        <v>235.42960295500001</v>
      </c>
      <c r="N136" s="17">
        <f>'All Experimental Diel Data'!P21</f>
        <v>237.58389261744966</v>
      </c>
      <c r="O136" s="28">
        <f t="shared" si="100"/>
        <v>235.69662744612458</v>
      </c>
      <c r="P136" s="28">
        <f t="shared" si="101"/>
        <v>-0.26702449112457316</v>
      </c>
    </row>
    <row r="137" spans="1:16" x14ac:dyDescent="0.2">
      <c r="A137" s="25">
        <v>41958.500000115702</v>
      </c>
      <c r="B137">
        <v>1.952857341531E-3</v>
      </c>
      <c r="C137" s="17">
        <f t="shared" si="94"/>
        <v>1952.857341531</v>
      </c>
      <c r="D137" s="17">
        <f>'All Experimental Diel Data'!H22</f>
        <v>1952.6342937062936</v>
      </c>
      <c r="E137" s="28">
        <f t="shared" si="95"/>
        <v>1946.7445009741971</v>
      </c>
      <c r="F137" s="28">
        <f t="shared" si="96"/>
        <v>6.1128405568028938</v>
      </c>
      <c r="G137">
        <v>2.2933592013479999E-3</v>
      </c>
      <c r="H137" s="17">
        <f t="shared" si="97"/>
        <v>2293.3592013479997</v>
      </c>
      <c r="I137" s="17">
        <f>'All Experimental Diel Data'!E22</f>
        <v>2298.2571188811185</v>
      </c>
      <c r="J137" s="28">
        <f t="shared" si="98"/>
        <v>2294.4544130993713</v>
      </c>
      <c r="K137" s="28">
        <f t="shared" si="99"/>
        <v>-1.0952117513716075</v>
      </c>
      <c r="L137" s="22">
        <v>2.4938172902700003E-4</v>
      </c>
      <c r="M137" s="17">
        <f t="shared" si="93"/>
        <v>249.38172902700003</v>
      </c>
      <c r="N137" s="17">
        <f>'All Experimental Diel Data'!P22</f>
        <v>254.36013986013984</v>
      </c>
      <c r="O137" s="28">
        <f t="shared" si="100"/>
        <v>251.96143780725512</v>
      </c>
      <c r="P137" s="28">
        <f t="shared" si="101"/>
        <v>-2.5797087802550891</v>
      </c>
    </row>
    <row r="138" spans="1:16" x14ac:dyDescent="0.2">
      <c r="A138" s="25">
        <v>41958.666666898098</v>
      </c>
      <c r="B138">
        <v>1.9320556256689999E-3</v>
      </c>
      <c r="C138" s="17">
        <f t="shared" si="94"/>
        <v>1932.0556256689999</v>
      </c>
      <c r="D138" s="17">
        <f>'All Experimental Diel Data'!H23</f>
        <v>1930.7255033557046</v>
      </c>
      <c r="E138" s="28">
        <f t="shared" si="95"/>
        <v>1924.8651392699473</v>
      </c>
      <c r="F138" s="28">
        <f t="shared" si="96"/>
        <v>7.1904863990525882</v>
      </c>
      <c r="G138">
        <v>2.2875628671379998E-3</v>
      </c>
      <c r="H138" s="17">
        <f t="shared" si="97"/>
        <v>2287.562867138</v>
      </c>
      <c r="I138" s="17">
        <f>'All Experimental Diel Data'!E23</f>
        <v>2286.6261744966446</v>
      </c>
      <c r="J138" s="28">
        <f t="shared" si="98"/>
        <v>2283.1593222091192</v>
      </c>
      <c r="K138" s="28">
        <f t="shared" si="99"/>
        <v>4.4035449288808195</v>
      </c>
      <c r="L138" s="22">
        <v>2.5981022633800001E-4</v>
      </c>
      <c r="M138" s="17">
        <f t="shared" si="93"/>
        <v>259.81022633800001</v>
      </c>
      <c r="N138" s="17">
        <f>'All Experimental Diel Data'!P23</f>
        <v>261.09479865771812</v>
      </c>
      <c r="O138" s="28">
        <f t="shared" si="100"/>
        <v>258.49078531894361</v>
      </c>
      <c r="P138" s="28">
        <f t="shared" si="101"/>
        <v>1.3194410190563985</v>
      </c>
    </row>
    <row r="139" spans="1:16" x14ac:dyDescent="0.2">
      <c r="A139" s="25">
        <v>41958.750000289401</v>
      </c>
      <c r="B139">
        <v>1.9490511719449999E-3</v>
      </c>
      <c r="C139" s="17">
        <f t="shared" si="94"/>
        <v>1949.0511719449999</v>
      </c>
      <c r="D139" s="17">
        <f>'All Experimental Diel Data'!H24</f>
        <v>1971.0355704697986</v>
      </c>
      <c r="E139" s="28">
        <f t="shared" si="95"/>
        <v>1965.1210605051485</v>
      </c>
      <c r="F139" s="28">
        <f t="shared" si="96"/>
        <v>-16.069888560148684</v>
      </c>
      <c r="G139">
        <v>2.290780672229E-3</v>
      </c>
      <c r="H139" s="17">
        <f t="shared" si="97"/>
        <v>2290.7806722290002</v>
      </c>
      <c r="I139" s="17">
        <f>'All Experimental Diel Data'!E24</f>
        <v>2301.4058724832212</v>
      </c>
      <c r="J139" s="28">
        <f t="shared" si="98"/>
        <v>2297.5122437407281</v>
      </c>
      <c r="K139" s="28">
        <f t="shared" si="99"/>
        <v>-6.7315715117279069</v>
      </c>
      <c r="L139" s="22">
        <v>2.4944357491100001E-4</v>
      </c>
      <c r="M139" s="17">
        <f t="shared" si="93"/>
        <v>249.44357491100001</v>
      </c>
      <c r="N139" s="17">
        <f>'All Experimental Diel Data'!P24</f>
        <v>226.4471476510067</v>
      </c>
      <c r="O139" s="28">
        <f t="shared" si="100"/>
        <v>224.89939476952608</v>
      </c>
      <c r="P139" s="28">
        <f t="shared" si="101"/>
        <v>24.54418014147393</v>
      </c>
    </row>
    <row r="140" spans="1:16" x14ac:dyDescent="0.2">
      <c r="A140" s="25">
        <v>41958.916667071797</v>
      </c>
      <c r="B140">
        <v>2.05276529646E-3</v>
      </c>
      <c r="C140" s="17">
        <f t="shared" si="94"/>
        <v>2052.7652964600002</v>
      </c>
      <c r="D140" s="17">
        <f>'All Experimental Diel Data'!H25</f>
        <v>2069.7959160839164</v>
      </c>
      <c r="E140" s="28">
        <f t="shared" si="95"/>
        <v>2063.748747800988</v>
      </c>
      <c r="F140" s="28">
        <f t="shared" si="96"/>
        <v>-10.983451340987813</v>
      </c>
      <c r="G140">
        <v>2.322391346771E-3</v>
      </c>
      <c r="H140" s="17">
        <f t="shared" si="97"/>
        <v>2322.3913467709999</v>
      </c>
      <c r="I140" s="17">
        <f>'All Experimental Diel Data'!E25</f>
        <v>2330.1319720279721</v>
      </c>
      <c r="J140" s="28">
        <f t="shared" si="98"/>
        <v>2325.4088525245779</v>
      </c>
      <c r="K140" s="28">
        <f t="shared" si="99"/>
        <v>-3.017505753578007</v>
      </c>
      <c r="L140" s="22">
        <v>1.8271026080500001E-4</v>
      </c>
      <c r="M140" s="17">
        <f t="shared" si="93"/>
        <v>182.71026080500002</v>
      </c>
      <c r="N140" s="17">
        <f>'All Experimental Diel Data'!P25</f>
        <v>168.95454545454544</v>
      </c>
      <c r="O140" s="28">
        <f t="shared" si="100"/>
        <v>169.15949904875885</v>
      </c>
      <c r="P140" s="28">
        <f t="shared" si="101"/>
        <v>13.550761756241172</v>
      </c>
    </row>
    <row r="141" spans="1:16" x14ac:dyDescent="0.2">
      <c r="A141" s="25">
        <v>41959.000000462998</v>
      </c>
      <c r="B141">
        <v>2.0728416115729999E-3</v>
      </c>
      <c r="C141" s="17">
        <f t="shared" si="94"/>
        <v>2072.8416115729997</v>
      </c>
      <c r="D141" s="17">
        <f>'All Experimental Diel Data'!H26</f>
        <v>2075.2420699300701</v>
      </c>
      <c r="E141" s="28">
        <f t="shared" si="95"/>
        <v>2069.1875861845865</v>
      </c>
      <c r="F141" s="28">
        <f t="shared" si="96"/>
        <v>3.6540253884131744</v>
      </c>
      <c r="G141">
        <v>2.3286042238119999E-3</v>
      </c>
      <c r="H141" s="17">
        <f t="shared" si="97"/>
        <v>2328.6042238119999</v>
      </c>
      <c r="I141" s="17">
        <f>'All Experimental Diel Data'!E26</f>
        <v>2332.7956363636367</v>
      </c>
      <c r="J141" s="28">
        <f t="shared" si="98"/>
        <v>2327.995601268095</v>
      </c>
      <c r="K141" s="28">
        <f t="shared" si="99"/>
        <v>0.60862254390485759</v>
      </c>
      <c r="L141" s="22">
        <v>1.7128418030200001E-4</v>
      </c>
      <c r="M141" s="17">
        <f t="shared" si="93"/>
        <v>171.28418030200001</v>
      </c>
      <c r="N141" s="17">
        <f>'All Experimental Diel Data'!P26</f>
        <v>172.66783216783216</v>
      </c>
      <c r="O141" s="28">
        <f t="shared" si="100"/>
        <v>172.7595833426065</v>
      </c>
      <c r="P141" s="28">
        <f t="shared" si="101"/>
        <v>-1.4754030406064942</v>
      </c>
    </row>
    <row r="142" spans="1:16" x14ac:dyDescent="0.2">
      <c r="A142" s="25">
        <v>41959.0833338542</v>
      </c>
      <c r="B142">
        <v>2.08364370097E-3</v>
      </c>
      <c r="C142" s="17">
        <f t="shared" si="94"/>
        <v>2083.6437009699998</v>
      </c>
      <c r="D142" s="17">
        <f>'All Experimental Diel Data'!H27</f>
        <v>2084.1440559440557</v>
      </c>
      <c r="E142" s="28">
        <f t="shared" si="95"/>
        <v>2078.077614742504</v>
      </c>
      <c r="F142" s="28">
        <f t="shared" si="96"/>
        <v>5.5660862274958163</v>
      </c>
      <c r="G142">
        <v>2.3319602052319999E-3</v>
      </c>
      <c r="H142" s="17">
        <f t="shared" si="97"/>
        <v>2331.9602052319997</v>
      </c>
      <c r="I142" s="17">
        <f>'All Experimental Diel Data'!E27</f>
        <v>2336.9149090909091</v>
      </c>
      <c r="J142" s="28">
        <f t="shared" si="98"/>
        <v>2331.9959264625295</v>
      </c>
      <c r="K142" s="28">
        <f t="shared" si="99"/>
        <v>-3.5721230529816239E-2</v>
      </c>
      <c r="L142" s="22">
        <v>1.65583774329E-4</v>
      </c>
      <c r="M142" s="17">
        <f t="shared" si="93"/>
        <v>165.58377432899999</v>
      </c>
      <c r="N142" s="17">
        <f>'All Experimental Diel Data'!P27</f>
        <v>170.8111888111888</v>
      </c>
      <c r="O142" s="28">
        <f t="shared" si="100"/>
        <v>170.95954119568268</v>
      </c>
      <c r="P142" s="28">
        <f t="shared" si="101"/>
        <v>-5.3757668666826817</v>
      </c>
    </row>
    <row r="143" spans="1:16" x14ac:dyDescent="0.2">
      <c r="A143" s="25">
        <v>41959.166667245401</v>
      </c>
      <c r="B143">
        <v>2.0894548006260001E-3</v>
      </c>
      <c r="C143" s="17">
        <f t="shared" si="94"/>
        <v>2089.4548006260002</v>
      </c>
      <c r="D143" s="17">
        <f>'All Experimental Diel Data'!H28</f>
        <v>2095.4225454545453</v>
      </c>
      <c r="E143" s="28">
        <f t="shared" si="95"/>
        <v>2089.3409545950835</v>
      </c>
      <c r="F143" s="28">
        <f t="shared" si="96"/>
        <v>0.11384603091664758</v>
      </c>
      <c r="G143">
        <v>2.333772985905E-3</v>
      </c>
      <c r="H143" s="17">
        <f t="shared" si="97"/>
        <v>2333.772985905</v>
      </c>
      <c r="I143" s="17">
        <f>'All Experimental Diel Data'!E28</f>
        <v>2336.4594125874128</v>
      </c>
      <c r="J143" s="28">
        <f t="shared" si="98"/>
        <v>2331.553582811222</v>
      </c>
      <c r="K143" s="28">
        <f t="shared" si="99"/>
        <v>2.2194030937780553</v>
      </c>
      <c r="L143" s="22">
        <v>1.62739880364E-4</v>
      </c>
      <c r="M143" s="17">
        <f t="shared" si="93"/>
        <v>162.73988036400002</v>
      </c>
      <c r="N143" s="17">
        <f>'All Experimental Diel Data'!P28</f>
        <v>160.29020979020979</v>
      </c>
      <c r="O143" s="28">
        <f t="shared" si="100"/>
        <v>160.7593023631143</v>
      </c>
      <c r="P143" s="28">
        <f t="shared" si="101"/>
        <v>1.9805780008857141</v>
      </c>
    </row>
    <row r="144" spans="1:16" x14ac:dyDescent="0.2">
      <c r="A144" s="25">
        <v>41959.250000636603</v>
      </c>
      <c r="B144">
        <v>2.0883144958480002E-3</v>
      </c>
      <c r="C144" s="17">
        <f t="shared" si="94"/>
        <v>2088.3144958480002</v>
      </c>
      <c r="D144" s="17">
        <f>'All Experimental Diel Data'!H29</f>
        <v>2072.8512590934529</v>
      </c>
      <c r="E144" s="28">
        <f t="shared" si="95"/>
        <v>2066.7999867679264</v>
      </c>
      <c r="F144" s="28">
        <f t="shared" si="96"/>
        <v>21.514509080073822</v>
      </c>
      <c r="G144">
        <v>2.3326996806849998E-3</v>
      </c>
      <c r="H144" s="17">
        <f t="shared" si="97"/>
        <v>2332.6996806849997</v>
      </c>
      <c r="I144" s="17">
        <f>'All Experimental Diel Data'!E29</f>
        <v>2335.4293228875208</v>
      </c>
      <c r="J144" s="28">
        <f t="shared" si="98"/>
        <v>2330.5532378348571</v>
      </c>
      <c r="K144" s="28">
        <f t="shared" si="99"/>
        <v>2.1464428501426482</v>
      </c>
      <c r="L144" s="22">
        <v>1.6450135706E-4</v>
      </c>
      <c r="M144" s="17">
        <f t="shared" si="93"/>
        <v>164.50135706</v>
      </c>
      <c r="N144" s="17">
        <f>'All Experimental Diel Data'!P29</f>
        <v>176.73999720201454</v>
      </c>
      <c r="O144" s="28">
        <f t="shared" si="100"/>
        <v>176.70760527397513</v>
      </c>
      <c r="P144" s="28">
        <f t="shared" si="101"/>
        <v>-12.20624821397513</v>
      </c>
    </row>
    <row r="145" spans="1:14" x14ac:dyDescent="0.2">
      <c r="B145" s="22"/>
      <c r="C145" s="17"/>
      <c r="D145" s="17"/>
      <c r="E145" s="17"/>
      <c r="F145" s="17"/>
      <c r="G145" s="22"/>
      <c r="H145" s="17"/>
      <c r="I145" s="17"/>
      <c r="J145" s="17"/>
      <c r="K145" s="17"/>
      <c r="L145" s="22"/>
      <c r="M145" s="17"/>
      <c r="N145" s="17"/>
    </row>
    <row r="146" spans="1:14" x14ac:dyDescent="0.2">
      <c r="B146" s="22"/>
      <c r="C146" s="17"/>
      <c r="D146" s="17"/>
      <c r="E146" s="17"/>
      <c r="F146" s="17"/>
      <c r="G146" s="22"/>
      <c r="H146" s="17"/>
      <c r="I146" s="17"/>
      <c r="J146" s="17"/>
      <c r="K146" s="22" t="s">
        <v>254</v>
      </c>
      <c r="L146" s="40">
        <f>SQRT(SUM((F134^2),(F135^2),(F136^2),(F137^2),(F138^2),(F139^2),(F140^2),(F141^2),(F142^2),(F143^2))/(COUNT(F134:F143)-1))</f>
        <v>8.2827894322856697</v>
      </c>
      <c r="M146" s="17"/>
      <c r="N146" s="17"/>
    </row>
    <row r="147" spans="1:14" x14ac:dyDescent="0.2">
      <c r="B147" s="22"/>
      <c r="C147" s="17"/>
      <c r="D147" s="17"/>
      <c r="E147" s="17"/>
      <c r="F147" s="17"/>
      <c r="G147" s="22"/>
      <c r="H147" s="17"/>
      <c r="I147" s="17"/>
      <c r="J147" s="17"/>
      <c r="K147" s="22" t="s">
        <v>255</v>
      </c>
      <c r="L147" s="40">
        <f>SQRT(SUM((K134^2),(K135^2),(K136^2),(K137^2),(K138^2),(K139^2),(K140^2),(K141^2),(K142^2),(K143^2))/(COUNT(K134:K143)-1))</f>
        <v>5.4135723646634819</v>
      </c>
      <c r="M147" s="17"/>
      <c r="N147" s="17"/>
    </row>
    <row r="148" spans="1:14" x14ac:dyDescent="0.2">
      <c r="B148" s="22"/>
      <c r="C148" s="17"/>
      <c r="D148" s="17"/>
      <c r="E148" s="17"/>
      <c r="F148" s="17"/>
      <c r="G148" s="22"/>
      <c r="H148" s="17"/>
      <c r="I148" s="17"/>
      <c r="J148" s="17"/>
      <c r="K148" s="22" t="s">
        <v>256</v>
      </c>
      <c r="L148" s="40">
        <f>SQRT(SUM((P134^2),(P135^2),(P136^2),(P137^2),(P138^2),(P139^2),(P140^2),(P141^2),(P142^2),(P143^2))/(COUNT(P134:P143)-1))</f>
        <v>17.005195141251459</v>
      </c>
      <c r="M148" s="17"/>
      <c r="N148" s="17"/>
    </row>
    <row r="149" spans="1:14" x14ac:dyDescent="0.2">
      <c r="B149" s="22"/>
      <c r="C149" s="17"/>
      <c r="D149" s="17"/>
      <c r="E149" s="17"/>
      <c r="F149" s="17"/>
      <c r="G149" s="22"/>
      <c r="H149" s="17"/>
      <c r="I149" s="17"/>
      <c r="J149" s="17"/>
      <c r="K149" s="17"/>
      <c r="L149" s="22"/>
      <c r="M149" s="17"/>
      <c r="N149" s="17"/>
    </row>
    <row r="150" spans="1:14" x14ac:dyDescent="0.2">
      <c r="B150" s="22"/>
      <c r="C150" s="17"/>
      <c r="D150" s="17"/>
      <c r="E150" s="17"/>
      <c r="F150" s="17"/>
      <c r="G150" s="22"/>
      <c r="H150" s="17"/>
      <c r="I150" s="17"/>
      <c r="J150" s="17"/>
      <c r="K150" s="17"/>
      <c r="L150" s="22"/>
      <c r="M150" s="17"/>
      <c r="N150" s="17"/>
    </row>
    <row r="151" spans="1:14" x14ac:dyDescent="0.2">
      <c r="B151" s="22"/>
      <c r="C151" s="17"/>
      <c r="D151" s="17"/>
      <c r="E151" s="17"/>
      <c r="F151" s="17"/>
      <c r="G151" s="22"/>
      <c r="H151" s="17"/>
      <c r="I151" s="17"/>
      <c r="J151" s="17"/>
      <c r="K151" s="17"/>
      <c r="L151" s="22"/>
      <c r="M151" s="17"/>
      <c r="N151" s="17"/>
    </row>
    <row r="152" spans="1:14" x14ac:dyDescent="0.2">
      <c r="B152" s="22"/>
      <c r="C152" s="17"/>
      <c r="D152" s="17"/>
      <c r="E152" s="17"/>
      <c r="F152" s="17"/>
      <c r="G152" s="22"/>
      <c r="H152" s="17"/>
      <c r="I152" s="17"/>
      <c r="J152" s="17"/>
      <c r="K152" s="17"/>
      <c r="L152" s="22"/>
      <c r="M152" s="17"/>
      <c r="N152" s="17"/>
    </row>
    <row r="153" spans="1:14" x14ac:dyDescent="0.2">
      <c r="B153" s="22"/>
      <c r="C153" s="17"/>
      <c r="D153" s="17"/>
      <c r="E153" s="17"/>
      <c r="F153" s="17"/>
      <c r="G153" s="22"/>
      <c r="H153" s="17"/>
      <c r="I153" s="17"/>
      <c r="J153" s="17"/>
      <c r="K153" s="17"/>
      <c r="L153" s="22"/>
      <c r="M153" s="17"/>
      <c r="N153" s="17"/>
    </row>
    <row r="154" spans="1:14" x14ac:dyDescent="0.2">
      <c r="B154" s="22"/>
      <c r="C154" s="17"/>
      <c r="D154" s="17"/>
      <c r="E154" s="17"/>
      <c r="F154" s="17"/>
      <c r="G154" s="22"/>
      <c r="H154" s="17"/>
      <c r="I154" s="17"/>
      <c r="J154" s="17"/>
      <c r="K154" s="17"/>
      <c r="L154" s="22"/>
      <c r="M154" s="17"/>
      <c r="N154" s="17"/>
    </row>
    <row r="155" spans="1:14" x14ac:dyDescent="0.2">
      <c r="B155" s="22"/>
      <c r="C155" s="17"/>
      <c r="D155" s="17"/>
      <c r="E155" s="17"/>
      <c r="F155" s="17"/>
      <c r="G155" s="22"/>
      <c r="H155" s="17"/>
      <c r="I155" s="17"/>
      <c r="J155" s="17"/>
      <c r="K155" s="17"/>
      <c r="L155" s="22"/>
      <c r="M155" s="17"/>
      <c r="N155" s="17"/>
    </row>
    <row r="156" spans="1:14" x14ac:dyDescent="0.2">
      <c r="B156" s="22"/>
      <c r="C156" s="17"/>
      <c r="D156" s="17"/>
      <c r="E156" s="17"/>
      <c r="F156" s="17"/>
      <c r="G156" s="22"/>
      <c r="H156" s="17"/>
      <c r="I156" s="17"/>
      <c r="J156" s="17"/>
      <c r="K156" s="17"/>
      <c r="L156" s="22"/>
      <c r="M156" s="17"/>
      <c r="N156" s="17"/>
    </row>
    <row r="157" spans="1:14" x14ac:dyDescent="0.2">
      <c r="B157" s="22"/>
      <c r="C157" s="17"/>
      <c r="D157" s="17"/>
      <c r="E157" s="17"/>
      <c r="F157" s="17"/>
      <c r="G157" s="22"/>
      <c r="H157" s="17"/>
      <c r="I157" s="17"/>
      <c r="J157" s="17"/>
      <c r="K157" s="17"/>
      <c r="L157" s="22"/>
      <c r="M157" s="17"/>
      <c r="N157" s="17"/>
    </row>
    <row r="158" spans="1:14" x14ac:dyDescent="0.2">
      <c r="B158" s="22"/>
      <c r="C158" s="17"/>
      <c r="D158" s="17"/>
      <c r="E158" s="17"/>
      <c r="F158" s="17"/>
      <c r="G158" s="22"/>
      <c r="H158" s="17"/>
      <c r="I158" s="17"/>
      <c r="J158" s="17"/>
      <c r="K158" s="17"/>
      <c r="L158" s="22"/>
      <c r="M158" s="17"/>
      <c r="N158" s="17"/>
    </row>
    <row r="159" spans="1:14" x14ac:dyDescent="0.2">
      <c r="B159" s="22"/>
      <c r="C159" s="17"/>
      <c r="D159" s="17"/>
      <c r="E159" s="17"/>
      <c r="F159" s="17"/>
      <c r="G159" s="22"/>
      <c r="H159" s="17"/>
      <c r="I159" s="17"/>
      <c r="J159" s="17"/>
      <c r="K159" s="17"/>
      <c r="L159" s="22"/>
      <c r="M159" s="17"/>
      <c r="N159" s="17"/>
    </row>
    <row r="160" spans="1:14" x14ac:dyDescent="0.2">
      <c r="A160" t="s">
        <v>128</v>
      </c>
      <c r="B160" s="22"/>
      <c r="C160" s="17"/>
      <c r="D160" s="17"/>
      <c r="E160" s="17"/>
      <c r="F160" s="17"/>
      <c r="G160" s="22"/>
      <c r="H160" s="17"/>
      <c r="I160" s="17"/>
      <c r="J160" s="17"/>
      <c r="K160" s="17"/>
      <c r="L160" s="22"/>
      <c r="M160" s="17"/>
      <c r="N160" s="17"/>
    </row>
    <row r="161" spans="1:16" x14ac:dyDescent="0.2">
      <c r="A161" s="29" t="s">
        <v>99</v>
      </c>
      <c r="B161" s="27" t="s">
        <v>130</v>
      </c>
      <c r="C161" s="28" t="s">
        <v>131</v>
      </c>
      <c r="D161" s="28" t="s">
        <v>132</v>
      </c>
      <c r="E161" s="23" t="s">
        <v>257</v>
      </c>
      <c r="F161" s="23" t="s">
        <v>260</v>
      </c>
      <c r="G161" s="27" t="s">
        <v>133</v>
      </c>
      <c r="H161" s="28" t="s">
        <v>131</v>
      </c>
      <c r="I161" s="28" t="s">
        <v>134</v>
      </c>
      <c r="J161" s="23" t="s">
        <v>258</v>
      </c>
      <c r="K161" s="23" t="s">
        <v>261</v>
      </c>
      <c r="L161" s="27" t="s">
        <v>135</v>
      </c>
      <c r="M161" s="28" t="s">
        <v>131</v>
      </c>
      <c r="N161" s="28" t="s">
        <v>136</v>
      </c>
      <c r="O161" s="23" t="s">
        <v>259</v>
      </c>
      <c r="P161" s="23" t="s">
        <v>262</v>
      </c>
    </row>
    <row r="162" spans="1:16" x14ac:dyDescent="0.2">
      <c r="A162" s="25">
        <v>0.45833333333333331</v>
      </c>
      <c r="B162">
        <v>1.9151021609359999E-3</v>
      </c>
      <c r="C162" s="17">
        <f>B162*10^6</f>
        <v>1915.1021609359998</v>
      </c>
      <c r="D162" s="17">
        <f>'All Experimental Diel Data'!H3</f>
        <v>1920.1413679093203</v>
      </c>
      <c r="E162" s="28">
        <f>SLOPE($C$162:$C$173,$D$162:$D$173)*D162+INTERCEPT($C$162:$C$173,$D$162:$D$173)</f>
        <v>1917.8671977979382</v>
      </c>
      <c r="F162" s="28">
        <f>C162-E162</f>
        <v>-2.7650368619383698</v>
      </c>
      <c r="G162">
        <v>2.2996667094300001E-3</v>
      </c>
      <c r="H162" s="17">
        <f t="shared" ref="H162:H174" si="102">G162*10^6</f>
        <v>2299.6667094300001</v>
      </c>
      <c r="I162" s="17">
        <f>'All Experimental Diel Data'!E3</f>
        <v>2310.2735361689702</v>
      </c>
      <c r="J162" s="28">
        <f>SLOPE($H$162:$H$173,$I$162:$I$173)*I162+INTERCEPT($H$162:$H$173,$I$162:$I$173)</f>
        <v>2307.7323557948075</v>
      </c>
      <c r="K162" s="28">
        <f>H162-J162</f>
        <v>-8.065646364807435</v>
      </c>
      <c r="L162" s="22">
        <v>2.19761433102E-4</v>
      </c>
      <c r="M162" s="17">
        <f t="shared" ref="M162:M174" si="103">L162*10^6</f>
        <v>219.76143310199998</v>
      </c>
      <c r="N162" s="17">
        <f>'All Experimental Diel Data'!P3</f>
        <v>232.43627009210954</v>
      </c>
      <c r="O162" s="28">
        <f>SLOPE($M$162:$M$173,$N$162:$N$173)*N162+INTERCEPT($M$162:$M$173,$N$162:$N$173)</f>
        <v>230.00862243758726</v>
      </c>
      <c r="P162" s="28">
        <f>M162-O162</f>
        <v>-10.247189335587279</v>
      </c>
    </row>
    <row r="163" spans="1:16" x14ac:dyDescent="0.2">
      <c r="A163" s="25">
        <v>0.54166666666666663</v>
      </c>
      <c r="B163">
        <v>1.887937293866E-3</v>
      </c>
      <c r="C163" s="17">
        <f t="shared" ref="C163:C174" si="104">B163*10^6</f>
        <v>1887.9372938660001</v>
      </c>
      <c r="D163" s="17">
        <f>'All Experimental Diel Data'!H4</f>
        <v>1889.6155647243258</v>
      </c>
      <c r="E163" s="28">
        <f t="shared" ref="E163:E173" si="105">SLOPE($C$162:$C$173,$D$162:$D$173)*D163+INTERCEPT($C$162:$C$173,$D$162:$D$173)</f>
        <v>1892.7293971536865</v>
      </c>
      <c r="F163" s="28">
        <f t="shared" ref="F163:F173" si="106">C163-E163</f>
        <v>-4.7921032876863592</v>
      </c>
      <c r="G163">
        <v>2.293321646451E-3</v>
      </c>
      <c r="H163" s="17">
        <f t="shared" si="102"/>
        <v>2293.3216464510001</v>
      </c>
      <c r="I163" s="17">
        <f>'All Experimental Diel Data'!E4</f>
        <v>2303.5782077381591</v>
      </c>
      <c r="J163" s="28">
        <f t="shared" ref="J163:J173" si="107">SLOPE($H$162:$H$173,$I$162:$I$173)*I163+INTERCEPT($H$162:$H$173,$I$162:$I$173)</f>
        <v>2302.7584859056478</v>
      </c>
      <c r="K163" s="28">
        <f t="shared" ref="K163:K173" si="108">H163-J163</f>
        <v>-9.4368394546477248</v>
      </c>
      <c r="L163" s="22">
        <v>2.38050654834E-4</v>
      </c>
      <c r="M163" s="17">
        <f t="shared" si="103"/>
        <v>238.050654834</v>
      </c>
      <c r="N163" s="17">
        <f>'All Experimental Diel Data'!P4</f>
        <v>248.5480096318143</v>
      </c>
      <c r="O163" s="28">
        <f t="shared" ref="O163:O173" si="109">SLOPE($M$162:$M$173,$N$162:$N$173)*N163+INTERCEPT($M$162:$M$173,$N$162:$N$173)</f>
        <v>243.14314676429373</v>
      </c>
      <c r="P163" s="28">
        <f t="shared" ref="P163:P173" si="110">M163-O163</f>
        <v>-5.0924919302937326</v>
      </c>
    </row>
    <row r="164" spans="1:16" x14ac:dyDescent="0.2">
      <c r="A164" s="25">
        <v>0.625</v>
      </c>
      <c r="B164">
        <v>1.8675533800229999E-3</v>
      </c>
      <c r="C164" s="17">
        <f t="shared" si="104"/>
        <v>1867.5533800229998</v>
      </c>
      <c r="D164" s="17">
        <f>'All Experimental Diel Data'!H5</f>
        <v>1864.3610371662905</v>
      </c>
      <c r="E164" s="28">
        <f t="shared" si="105"/>
        <v>1871.9324577489695</v>
      </c>
      <c r="F164" s="28">
        <f t="shared" si="106"/>
        <v>-4.379077725969637</v>
      </c>
      <c r="G164">
        <v>2.2885241557309998E-3</v>
      </c>
      <c r="H164" s="17">
        <f t="shared" si="102"/>
        <v>2288.5241557309996</v>
      </c>
      <c r="I164" s="17">
        <f>'All Experimental Diel Data'!E5</f>
        <v>2284.102739021293</v>
      </c>
      <c r="J164" s="28">
        <f t="shared" si="107"/>
        <v>2288.2904208317495</v>
      </c>
      <c r="K164" s="28">
        <f t="shared" si="108"/>
        <v>0.23373489925006652</v>
      </c>
      <c r="L164" s="22">
        <v>2.50578449114E-4</v>
      </c>
      <c r="M164" s="17">
        <f t="shared" si="103"/>
        <v>250.57844911399999</v>
      </c>
      <c r="N164" s="17">
        <f>'All Experimental Diel Data'!P5</f>
        <v>257.08005925408077</v>
      </c>
      <c r="O164" s="28">
        <f t="shared" si="109"/>
        <v>250.09859766667219</v>
      </c>
      <c r="P164" s="28">
        <f t="shared" si="110"/>
        <v>0.47985144732780327</v>
      </c>
    </row>
    <row r="165" spans="1:16" x14ac:dyDescent="0.2">
      <c r="A165" s="25">
        <v>0.70833333333333337</v>
      </c>
      <c r="B165">
        <v>1.8534589817139999E-3</v>
      </c>
      <c r="C165" s="17">
        <f t="shared" si="104"/>
        <v>1853.4589817139999</v>
      </c>
      <c r="D165" s="17">
        <f>'All Experimental Diel Data'!H6</f>
        <v>1850.0804671648878</v>
      </c>
      <c r="E165" s="28">
        <f t="shared" si="105"/>
        <v>1860.1725011114318</v>
      </c>
      <c r="F165" s="28">
        <f t="shared" si="106"/>
        <v>-6.7135193974318099</v>
      </c>
      <c r="G165">
        <v>2.2849708467980001E-3</v>
      </c>
      <c r="H165" s="17">
        <f t="shared" si="102"/>
        <v>2284.9708467979999</v>
      </c>
      <c r="I165" s="17">
        <f>'All Experimental Diel Data'!E6</f>
        <v>2284.5362469366155</v>
      </c>
      <c r="J165" s="28">
        <f t="shared" si="107"/>
        <v>2288.612468060503</v>
      </c>
      <c r="K165" s="28">
        <f t="shared" si="108"/>
        <v>-3.6416212625031221</v>
      </c>
      <c r="L165" s="22">
        <v>2.5832029619899999E-4</v>
      </c>
      <c r="M165" s="17">
        <f t="shared" si="103"/>
        <v>258.32029619899998</v>
      </c>
      <c r="N165" s="17">
        <f>'All Experimental Diel Data'!P6</f>
        <v>263.18856918985716</v>
      </c>
      <c r="O165" s="28">
        <f t="shared" si="109"/>
        <v>255.07834377997446</v>
      </c>
      <c r="P165" s="28">
        <f t="shared" si="110"/>
        <v>3.2419524190255231</v>
      </c>
    </row>
    <row r="166" spans="1:16" x14ac:dyDescent="0.2">
      <c r="A166" s="25">
        <v>0.79166666666666663</v>
      </c>
      <c r="B166">
        <v>1.8838595721489999E-3</v>
      </c>
      <c r="C166" s="17">
        <f t="shared" si="104"/>
        <v>1883.8595721489999</v>
      </c>
      <c r="D166" s="17">
        <f>'All Experimental Diel Data'!H7</f>
        <v>1873.4346197845284</v>
      </c>
      <c r="E166" s="28">
        <f t="shared" si="105"/>
        <v>1879.4044940981566</v>
      </c>
      <c r="F166" s="28">
        <f t="shared" si="106"/>
        <v>4.4550780508432126</v>
      </c>
      <c r="G166">
        <v>2.2916732953410001E-3</v>
      </c>
      <c r="H166" s="17">
        <f t="shared" si="102"/>
        <v>2291.6732953410001</v>
      </c>
      <c r="I166" s="17">
        <f>'All Experimental Diel Data'!E7</f>
        <v>2285.2123795210841</v>
      </c>
      <c r="J166" s="28">
        <f t="shared" si="107"/>
        <v>2289.1147579089729</v>
      </c>
      <c r="K166" s="28">
        <f t="shared" si="108"/>
        <v>2.5585374320271512</v>
      </c>
      <c r="L166" s="22">
        <v>2.3199984333E-4</v>
      </c>
      <c r="M166" s="17">
        <f t="shared" si="103"/>
        <v>231.99984333</v>
      </c>
      <c r="N166" s="17">
        <f>'All Experimental Diel Data'!P7</f>
        <v>225.82876394935624</v>
      </c>
      <c r="O166" s="28">
        <f t="shared" si="109"/>
        <v>224.62208736128565</v>
      </c>
      <c r="P166" s="28">
        <f t="shared" si="110"/>
        <v>7.3777559687143537</v>
      </c>
    </row>
    <row r="167" spans="1:16" x14ac:dyDescent="0.2">
      <c r="A167" s="25">
        <v>0.875</v>
      </c>
      <c r="B167">
        <v>1.9160142228750001E-3</v>
      </c>
      <c r="C167" s="17">
        <f t="shared" si="104"/>
        <v>1916.0142228750001</v>
      </c>
      <c r="D167" s="17">
        <f>'All Experimental Diel Data'!H8</f>
        <v>1898.852534697842</v>
      </c>
      <c r="E167" s="28">
        <f t="shared" si="105"/>
        <v>1900.3359819286723</v>
      </c>
      <c r="F167" s="28">
        <f t="shared" si="106"/>
        <v>15.678240946327833</v>
      </c>
      <c r="G167">
        <v>2.299662035524E-3</v>
      </c>
      <c r="H167" s="17">
        <f t="shared" si="102"/>
        <v>2299.6620355240002</v>
      </c>
      <c r="I167" s="17">
        <f>'All Experimental Diel Data'!E8</f>
        <v>2302.4974450653867</v>
      </c>
      <c r="J167" s="28">
        <f t="shared" si="107"/>
        <v>2301.9556017796513</v>
      </c>
      <c r="K167" s="28">
        <f t="shared" si="108"/>
        <v>-2.2935662556510579</v>
      </c>
      <c r="L167" s="22">
        <v>2.07152730728E-4</v>
      </c>
      <c r="M167" s="17">
        <f t="shared" si="103"/>
        <v>207.15273072799999</v>
      </c>
      <c r="N167" s="17">
        <f>'All Experimental Diel Data'!P8</f>
        <v>199.61615450667941</v>
      </c>
      <c r="O167" s="28">
        <f t="shared" si="109"/>
        <v>203.25318702976975</v>
      </c>
      <c r="P167" s="28">
        <f t="shared" si="110"/>
        <v>3.8995436982302465</v>
      </c>
    </row>
    <row r="168" spans="1:16" x14ac:dyDescent="0.2">
      <c r="A168" s="25">
        <v>0.95833333333333337</v>
      </c>
      <c r="B168">
        <v>1.9408064588859999E-3</v>
      </c>
      <c r="C168" s="17">
        <f t="shared" si="104"/>
        <v>1940.806458886</v>
      </c>
      <c r="D168" s="17">
        <f>'All Experimental Diel Data'!H9</f>
        <v>1961.1327501400733</v>
      </c>
      <c r="E168" s="28">
        <f t="shared" si="105"/>
        <v>1951.6233348078076</v>
      </c>
      <c r="F168" s="28">
        <f t="shared" si="106"/>
        <v>-10.81687592180765</v>
      </c>
      <c r="G168">
        <v>2.3058594382630001E-3</v>
      </c>
      <c r="H168" s="17">
        <f t="shared" si="102"/>
        <v>2305.8594382629999</v>
      </c>
      <c r="I168" s="17">
        <f>'All Experimental Diel Data'!E9</f>
        <v>2308.8026894087634</v>
      </c>
      <c r="J168" s="28">
        <f t="shared" si="107"/>
        <v>2306.6396834206648</v>
      </c>
      <c r="K168" s="28">
        <f t="shared" si="108"/>
        <v>-0.78024515766492186</v>
      </c>
      <c r="L168" s="22">
        <v>1.8967544570099999E-4</v>
      </c>
      <c r="M168" s="17">
        <f t="shared" si="103"/>
        <v>189.675445701</v>
      </c>
      <c r="N168" s="17">
        <f>'All Experimental Diel Data'!P9</f>
        <v>168.30326800329985</v>
      </c>
      <c r="O168" s="28">
        <f t="shared" si="109"/>
        <v>177.72646668374469</v>
      </c>
      <c r="P168" s="28">
        <f t="shared" si="110"/>
        <v>11.948979017255311</v>
      </c>
    </row>
    <row r="169" spans="1:16" x14ac:dyDescent="0.2">
      <c r="A169" s="25">
        <v>1.0416666666666667</v>
      </c>
      <c r="B169">
        <v>1.9595441087419999E-3</v>
      </c>
      <c r="C169" s="17">
        <f t="shared" si="104"/>
        <v>1959.5441087419999</v>
      </c>
      <c r="D169" s="17">
        <f>'All Experimental Diel Data'!H10</f>
        <v>1992.6781779844314</v>
      </c>
      <c r="E169" s="28">
        <f t="shared" si="105"/>
        <v>1977.6007897361321</v>
      </c>
      <c r="F169" s="28">
        <f t="shared" si="106"/>
        <v>-18.056680994132194</v>
      </c>
      <c r="G169">
        <v>2.310558394273E-3</v>
      </c>
      <c r="H169" s="17">
        <f t="shared" si="102"/>
        <v>2310.558394273</v>
      </c>
      <c r="I169" s="17">
        <f>'All Experimental Diel Data'!E10</f>
        <v>2316.5786479514245</v>
      </c>
      <c r="J169" s="28">
        <f t="shared" si="107"/>
        <v>2312.4163389580858</v>
      </c>
      <c r="K169" s="28">
        <f t="shared" si="108"/>
        <v>-1.8579446850858403</v>
      </c>
      <c r="L169" s="22">
        <v>1.77606535233E-4</v>
      </c>
      <c r="M169" s="17">
        <f t="shared" si="103"/>
        <v>177.60653523300002</v>
      </c>
      <c r="N169" s="17">
        <f>'All Experimental Diel Data'!P10</f>
        <v>163.53293379445529</v>
      </c>
      <c r="O169" s="28">
        <f t="shared" si="109"/>
        <v>173.83762087921917</v>
      </c>
      <c r="P169" s="28">
        <f t="shared" si="110"/>
        <v>3.7689143537808434</v>
      </c>
    </row>
    <row r="170" spans="1:16" x14ac:dyDescent="0.2">
      <c r="A170" s="25">
        <v>1.125</v>
      </c>
      <c r="B170">
        <v>1.9736730341779998E-3</v>
      </c>
      <c r="C170" s="17">
        <f t="shared" si="104"/>
        <v>1973.6730341779999</v>
      </c>
      <c r="D170" s="17">
        <f>'All Experimental Diel Data'!H11</f>
        <v>1972.8604660702304</v>
      </c>
      <c r="E170" s="28">
        <f t="shared" si="105"/>
        <v>1961.2810326995907</v>
      </c>
      <c r="F170" s="28">
        <f t="shared" si="106"/>
        <v>12.392001478409156</v>
      </c>
      <c r="G170">
        <v>2.3141124338220001E-3</v>
      </c>
      <c r="H170" s="17">
        <f t="shared" si="102"/>
        <v>2314.1124338220002</v>
      </c>
      <c r="I170" s="17">
        <f>'All Experimental Diel Data'!E11</f>
        <v>2307.8678122674205</v>
      </c>
      <c r="J170" s="28">
        <f t="shared" si="107"/>
        <v>2305.945175703614</v>
      </c>
      <c r="K170" s="28">
        <f t="shared" si="108"/>
        <v>8.1672581183861439</v>
      </c>
      <c r="L170" s="22">
        <v>1.69288888758E-4</v>
      </c>
      <c r="M170" s="17">
        <f t="shared" si="103"/>
        <v>169.28888875799998</v>
      </c>
      <c r="N170" s="17">
        <f>'All Experimental Diel Data'!P11</f>
        <v>162.12409799416696</v>
      </c>
      <c r="O170" s="28">
        <f t="shared" si="109"/>
        <v>172.68911745129191</v>
      </c>
      <c r="P170" s="28">
        <f t="shared" si="110"/>
        <v>-3.4002286932919219</v>
      </c>
    </row>
    <row r="171" spans="1:16" x14ac:dyDescent="0.2">
      <c r="A171" s="25">
        <v>1.2083333333333333</v>
      </c>
      <c r="B171">
        <v>1.9843227334310001E-3</v>
      </c>
      <c r="C171" s="17">
        <f t="shared" si="104"/>
        <v>1984.3227334310002</v>
      </c>
      <c r="D171" s="17">
        <f>'All Experimental Diel Data'!H12</f>
        <v>1973.4953621595473</v>
      </c>
      <c r="E171" s="28">
        <f t="shared" si="105"/>
        <v>1961.8038655052123</v>
      </c>
      <c r="F171" s="28">
        <f t="shared" si="106"/>
        <v>22.518867925787845</v>
      </c>
      <c r="G171">
        <v>2.3167998025890001E-3</v>
      </c>
      <c r="H171" s="17">
        <f t="shared" si="102"/>
        <v>2316.7998025890001</v>
      </c>
      <c r="I171" s="17">
        <f>'All Experimental Diel Data'!E12</f>
        <v>2306.4022544971817</v>
      </c>
      <c r="J171" s="28">
        <f t="shared" si="107"/>
        <v>2304.8564324493368</v>
      </c>
      <c r="K171" s="28">
        <f t="shared" si="108"/>
        <v>11.94337013966333</v>
      </c>
      <c r="L171" s="22">
        <v>1.6355776562800001E-4</v>
      </c>
      <c r="M171" s="17">
        <f t="shared" si="103"/>
        <v>163.557765628</v>
      </c>
      <c r="N171" s="17">
        <f>'All Experimental Diel Data'!P12</f>
        <v>160.58415551980559</v>
      </c>
      <c r="O171" s="28">
        <f t="shared" si="109"/>
        <v>171.43373395645676</v>
      </c>
      <c r="P171" s="28">
        <f t="shared" si="110"/>
        <v>-7.8759683284567643</v>
      </c>
    </row>
    <row r="172" spans="1:16" x14ac:dyDescent="0.2">
      <c r="A172" s="25">
        <v>1.2916666666666667</v>
      </c>
      <c r="B172">
        <v>1.9894959063100001E-3</v>
      </c>
      <c r="C172" s="17">
        <f t="shared" si="104"/>
        <v>1989.49590631</v>
      </c>
      <c r="D172" s="17">
        <f>'All Experimental Diel Data'!H13</f>
        <v>1990.6423571540947</v>
      </c>
      <c r="E172" s="28">
        <f t="shared" si="105"/>
        <v>1975.9243045059065</v>
      </c>
      <c r="F172" s="28">
        <f t="shared" si="106"/>
        <v>13.571601804093461</v>
      </c>
      <c r="G172">
        <v>2.3176098457E-3</v>
      </c>
      <c r="H172" s="17">
        <f t="shared" si="102"/>
        <v>2317.6098456999998</v>
      </c>
      <c r="I172" s="17">
        <f>'All Experimental Diel Data'!E13</f>
        <v>2311.9063539512717</v>
      </c>
      <c r="J172" s="28">
        <f t="shared" si="107"/>
        <v>2308.9453542736428</v>
      </c>
      <c r="K172" s="28">
        <f t="shared" si="108"/>
        <v>8.6644914263570172</v>
      </c>
      <c r="L172" s="22">
        <v>1.61819371808E-4</v>
      </c>
      <c r="M172" s="17">
        <f t="shared" si="103"/>
        <v>161.819371808</v>
      </c>
      <c r="N172" s="17">
        <f>'All Experimental Diel Data'!P13</f>
        <v>156.13610311966195</v>
      </c>
      <c r="O172" s="28">
        <f t="shared" si="109"/>
        <v>167.80761696814665</v>
      </c>
      <c r="P172" s="28">
        <f t="shared" si="110"/>
        <v>-5.9882451601466471</v>
      </c>
    </row>
    <row r="173" spans="1:16" x14ac:dyDescent="0.2">
      <c r="A173" s="25">
        <v>1.375</v>
      </c>
      <c r="B173">
        <v>1.950553359498E-3</v>
      </c>
      <c r="C173" s="17">
        <f t="shared" si="104"/>
        <v>1950.553359498</v>
      </c>
      <c r="D173" s="17">
        <f>'All Experimental Diel Data'!H14</f>
        <v>1985.4468711329771</v>
      </c>
      <c r="E173" s="28">
        <f t="shared" si="105"/>
        <v>1971.6458555144955</v>
      </c>
      <c r="F173" s="28">
        <f t="shared" si="106"/>
        <v>-21.092496016495488</v>
      </c>
      <c r="G173">
        <v>2.3079499287509998E-3</v>
      </c>
      <c r="H173" s="17">
        <f t="shared" si="102"/>
        <v>2307.9499287509998</v>
      </c>
      <c r="I173" s="17">
        <f>'All Experimental Diel Data'!E14</f>
        <v>2317.9585605847624</v>
      </c>
      <c r="J173" s="28">
        <f t="shared" si="107"/>
        <v>2313.4414575863289</v>
      </c>
      <c r="K173" s="28">
        <f t="shared" si="108"/>
        <v>-5.4915288353290634</v>
      </c>
      <c r="L173" s="22">
        <v>1.9361572817299999E-4</v>
      </c>
      <c r="M173" s="17">
        <f t="shared" si="103"/>
        <v>193.61572817299998</v>
      </c>
      <c r="N173" s="17">
        <f>'All Experimental Diel Data'!P14</f>
        <v>185.47928029238122</v>
      </c>
      <c r="O173" s="28">
        <f t="shared" si="109"/>
        <v>191.72860162955843</v>
      </c>
      <c r="P173" s="28">
        <f t="shared" si="110"/>
        <v>1.8871265434415534</v>
      </c>
    </row>
    <row r="174" spans="1:16" x14ac:dyDescent="0.2">
      <c r="A174" s="25">
        <v>1.4583333333333333</v>
      </c>
      <c r="B174">
        <v>1.915101940355E-3</v>
      </c>
      <c r="C174" s="17">
        <f t="shared" si="104"/>
        <v>1915.1019403550001</v>
      </c>
      <c r="D174" s="17">
        <f>'All Experimental Diel Data'!H15</f>
        <v>1944.8381548377661</v>
      </c>
      <c r="E174" s="17" t="s">
        <v>195</v>
      </c>
      <c r="F174" s="17" t="s">
        <v>195</v>
      </c>
      <c r="G174">
        <v>2.299666498823E-3</v>
      </c>
      <c r="H174" s="17">
        <f t="shared" si="102"/>
        <v>2299.666498823</v>
      </c>
      <c r="I174" s="17">
        <f>'All Experimental Diel Data'!E15</f>
        <v>2306.0103825105875</v>
      </c>
      <c r="J174" s="17" t="s">
        <v>195</v>
      </c>
      <c r="K174" s="17" t="s">
        <v>195</v>
      </c>
      <c r="L174" s="22">
        <v>2.1976143163600001E-4</v>
      </c>
      <c r="M174" s="17">
        <f t="shared" si="103"/>
        <v>219.76143163600003</v>
      </c>
      <c r="N174" s="17">
        <f>'All Experimental Diel Data'!P15</f>
        <v>215.79587061794498</v>
      </c>
      <c r="O174" t="s">
        <v>195</v>
      </c>
      <c r="P174" t="s">
        <v>195</v>
      </c>
    </row>
    <row r="176" spans="1:16" x14ac:dyDescent="0.2">
      <c r="K176" s="22" t="s">
        <v>254</v>
      </c>
      <c r="L176" s="40">
        <f>SQRT(SUM((F162^2),(F163^2),(F164^2),(F165^2),(F166^2),(F167^2),(F168^2),(F169^2),(F170^2),(F171^2),(F172^2),(F173^2))/(COUNT(F162:F173)-1))</f>
        <v>13.794938851471064</v>
      </c>
    </row>
    <row r="177" spans="11:12" x14ac:dyDescent="0.2">
      <c r="K177" s="22" t="s">
        <v>255</v>
      </c>
      <c r="L177" s="40">
        <f>SQRT(SUM((K162^2),(K163^2),(K164^2),(K165^2),(K166^2),(K167^2),(K168^2),(K169^2),(K170^2),(K171^2),(K172^2),(K173^2))/(COUNT(K162:K173)-1))</f>
        <v>6.7276257098394749</v>
      </c>
    </row>
    <row r="178" spans="11:12" x14ac:dyDescent="0.2">
      <c r="K178" s="22" t="s">
        <v>256</v>
      </c>
      <c r="L178" s="40">
        <f>SQRT(SUM((P162^2),(P163^2),(P164^2),(P165^2),(P166^2),(P167^2),(P168^2),(P169^2),(P170^2),(P171^2),(P172^2),(P173^2))/(COUNT(P162:P173)-1))</f>
        <v>6.6148055310793676</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A151A-C3C3-114F-A111-1F91188ADB0E}">
  <dimension ref="A1:D71"/>
  <sheetViews>
    <sheetView workbookViewId="0">
      <selection activeCell="B17" sqref="B17"/>
    </sheetView>
  </sheetViews>
  <sheetFormatPr baseColWidth="10" defaultRowHeight="16" x14ac:dyDescent="0.2"/>
  <cols>
    <col min="1" max="1" width="29.33203125" bestFit="1" customWidth="1"/>
    <col min="2" max="2" width="18.6640625" bestFit="1" customWidth="1"/>
    <col min="3" max="3" width="27.33203125" bestFit="1" customWidth="1"/>
    <col min="4" max="4" width="32.1640625" bestFit="1" customWidth="1"/>
  </cols>
  <sheetData>
    <row r="1" spans="1:4" x14ac:dyDescent="0.2">
      <c r="A1" s="10" t="s">
        <v>70</v>
      </c>
    </row>
    <row r="2" spans="1:4" x14ac:dyDescent="0.2">
      <c r="A2" t="s">
        <v>99</v>
      </c>
      <c r="B2" t="s">
        <v>427</v>
      </c>
      <c r="C2" t="s">
        <v>455</v>
      </c>
      <c r="D2" t="s">
        <v>456</v>
      </c>
    </row>
    <row r="3" spans="1:4" x14ac:dyDescent="0.2">
      <c r="A3" s="19">
        <v>0.45833333333333331</v>
      </c>
      <c r="B3" s="17">
        <f>'Single Box Model Fluxes'!AK27</f>
        <v>-0.763395892229916</v>
      </c>
      <c r="C3" s="17">
        <f>'Non-Dispersive Model Output'!T22</f>
        <v>-0.61304540212958525</v>
      </c>
      <c r="D3" s="17">
        <f>'MultiBox Eulerian Inverse Model'!X10</f>
        <v>-0.82352946839919228</v>
      </c>
    </row>
    <row r="4" spans="1:4" x14ac:dyDescent="0.2">
      <c r="A4" s="19">
        <v>0.54166666666666663</v>
      </c>
      <c r="B4" s="17">
        <f>'Single Box Model Fluxes'!AK28</f>
        <v>-0.79641693940052816</v>
      </c>
      <c r="C4" s="17">
        <f>'Non-Dispersive Model Output'!T23</f>
        <v>-0.58368317195883124</v>
      </c>
      <c r="D4" s="17">
        <f>'MultiBox Eulerian Inverse Model'!X11</f>
        <v>-0.82352945956885748</v>
      </c>
    </row>
    <row r="5" spans="1:4" x14ac:dyDescent="0.2">
      <c r="A5" s="19">
        <v>0.625</v>
      </c>
      <c r="B5" s="17">
        <f>'Single Box Model Fluxes'!AK29</f>
        <v>-0.73933342593894813</v>
      </c>
      <c r="C5" s="17">
        <f>'Non-Dispersive Model Output'!T24</f>
        <v>-0.52914415411265436</v>
      </c>
      <c r="D5" s="17">
        <f>'MultiBox Eulerian Inverse Model'!X12</f>
        <v>-0.82354115104525438</v>
      </c>
    </row>
    <row r="6" spans="1:4" x14ac:dyDescent="0.2">
      <c r="A6" s="19">
        <v>0.70833333333333304</v>
      </c>
      <c r="B6" s="17">
        <f>'Single Box Model Fluxes'!AK30</f>
        <v>13.399398007852112</v>
      </c>
      <c r="C6" s="17">
        <f>'Non-Dispersive Model Output'!T25</f>
        <v>-0.51785077541782687</v>
      </c>
      <c r="D6" s="17">
        <f>'MultiBox Eulerian Inverse Model'!X13</f>
        <v>-0.85123290450327049</v>
      </c>
    </row>
    <row r="7" spans="1:4" x14ac:dyDescent="0.2">
      <c r="A7" s="19">
        <v>0.79166666666666596</v>
      </c>
      <c r="B7" s="17">
        <f>'Single Box Model Fluxes'!AK31</f>
        <v>7.6679077709260461</v>
      </c>
      <c r="C7" s="17">
        <f>'Non-Dispersive Model Output'!T26</f>
        <v>-0.27597114611625984</v>
      </c>
      <c r="D7" s="17">
        <f>'MultiBox Eulerian Inverse Model'!X14</f>
        <v>-1.1999999999999995</v>
      </c>
    </row>
    <row r="8" spans="1:4" x14ac:dyDescent="0.2">
      <c r="A8" s="19">
        <v>0.875</v>
      </c>
      <c r="B8" s="17">
        <f>'Single Box Model Fluxes'!AK32</f>
        <v>-0.67647912036471336</v>
      </c>
      <c r="C8" s="17">
        <f>'Non-Dispersive Model Output'!T27</f>
        <v>-3.3112583767059819E-2</v>
      </c>
      <c r="D8" s="17">
        <f>'MultiBox Eulerian Inverse Model'!X15</f>
        <v>-1.1999999999999995</v>
      </c>
    </row>
    <row r="9" spans="1:4" x14ac:dyDescent="0.2">
      <c r="A9" s="19">
        <v>0.95833333333333304</v>
      </c>
      <c r="B9" s="17">
        <f>'Single Box Model Fluxes'!AK33</f>
        <v>-0.52061445177967947</v>
      </c>
      <c r="C9" s="17">
        <f>'Non-Dispersive Model Output'!T28</f>
        <v>1.7042316934930217</v>
      </c>
      <c r="D9" s="17">
        <f>'MultiBox Eulerian Inverse Model'!X16</f>
        <v>-1.1999999999999995</v>
      </c>
    </row>
    <row r="10" spans="1:4" x14ac:dyDescent="0.2">
      <c r="A10" s="19">
        <v>1.0416666666666701</v>
      </c>
      <c r="B10" s="17">
        <f>'Single Box Model Fluxes'!AK34</f>
        <v>1.0807365807092848</v>
      </c>
      <c r="C10" s="17">
        <f>'Non-Dispersive Model Output'!T29</f>
        <v>-2.2782821992078843</v>
      </c>
      <c r="D10" s="17">
        <f>'MultiBox Eulerian Inverse Model'!X17</f>
        <v>-1.1999999999999995</v>
      </c>
    </row>
    <row r="11" spans="1:4" x14ac:dyDescent="0.2">
      <c r="A11" s="19">
        <v>1.125</v>
      </c>
      <c r="B11" s="17">
        <f>'Single Box Model Fluxes'!AK35</f>
        <v>-3.9189003288795998</v>
      </c>
      <c r="C11" s="17">
        <f>'Non-Dispersive Model Output'!T30</f>
        <v>6.8191696506378507</v>
      </c>
      <c r="D11" s="17">
        <f>'MultiBox Eulerian Inverse Model'!X18</f>
        <v>-1.1999999999999995</v>
      </c>
    </row>
    <row r="12" spans="1:4" x14ac:dyDescent="0.2">
      <c r="A12" s="19">
        <v>1.2083333333333299</v>
      </c>
      <c r="B12" s="17">
        <f>'Single Box Model Fluxes'!AK36</f>
        <v>-0.90995849833453135</v>
      </c>
      <c r="C12" s="17">
        <f>'Non-Dispersive Model Output'!T31</f>
        <v>8.1318782763365967</v>
      </c>
      <c r="D12" s="17">
        <f>'MultiBox Eulerian Inverse Model'!X19</f>
        <v>-1.1999999999999995</v>
      </c>
    </row>
    <row r="13" spans="1:4" x14ac:dyDescent="0.2">
      <c r="A13" s="19">
        <v>1.2916666666666701</v>
      </c>
      <c r="B13" s="17">
        <f>'Single Box Model Fluxes'!AK37</f>
        <v>-5.6455109457573576</v>
      </c>
      <c r="C13" s="17">
        <f>'Non-Dispersive Model Output'!T32</f>
        <v>-3.2281219823586627</v>
      </c>
      <c r="D13" s="17">
        <f>'MultiBox Eulerian Inverse Model'!X20</f>
        <v>-0.79886310110500403</v>
      </c>
    </row>
    <row r="14" spans="1:4" x14ac:dyDescent="0.2">
      <c r="A14" s="19">
        <v>1.375</v>
      </c>
      <c r="B14" s="17">
        <f>'Single Box Model Fluxes'!AK38</f>
        <v>-0.85227473072347848</v>
      </c>
      <c r="C14" s="17">
        <f>'Non-Dispersive Model Output'!T33</f>
        <v>-1.5447319165602109</v>
      </c>
      <c r="D14" s="17">
        <f>'MultiBox Eulerian Inverse Model'!X21</f>
        <v>-0.82355204841084162</v>
      </c>
    </row>
    <row r="15" spans="1:4" x14ac:dyDescent="0.2">
      <c r="A15" s="19"/>
    </row>
    <row r="16" spans="1:4" x14ac:dyDescent="0.2">
      <c r="A16" s="19" t="s">
        <v>429</v>
      </c>
      <c r="B16" s="17">
        <f>'Single Box Model Fluxes'!AL27</f>
        <v>-0.73753743891256851</v>
      </c>
      <c r="C16" s="17">
        <f>'Non-Dispersive Model Output'!T35</f>
        <v>-0.70840631125757969</v>
      </c>
      <c r="D16" s="17">
        <f>'MultiBox Eulerian Inverse Model'!AD10</f>
        <v>-0.91440011871310878</v>
      </c>
    </row>
    <row r="17" spans="1:4" x14ac:dyDescent="0.2">
      <c r="A17" t="s">
        <v>428</v>
      </c>
      <c r="B17" s="51">
        <f>'Single Box Model Fluxes'!B42</f>
        <v>-66.135514972025589</v>
      </c>
      <c r="C17" s="51">
        <f>'Non-Dispersive Model Output'!P35</f>
        <v>-131.88469423309402</v>
      </c>
      <c r="D17" s="51">
        <f>'MultiBox Eulerian Inverse Model'!AE10</f>
        <v>-110.3274089370048</v>
      </c>
    </row>
    <row r="18" spans="1:4" x14ac:dyDescent="0.2">
      <c r="A18" t="s">
        <v>430</v>
      </c>
      <c r="B18" s="51">
        <f>'Single Box Model Fluxes'!B43</f>
        <v>-42.515175399619487</v>
      </c>
      <c r="C18" s="51">
        <f>'Non-Dispersive Model Output'!R35</f>
        <v>-80.660618299396276</v>
      </c>
      <c r="D18" s="51">
        <f>'MultiBox Eulerian Inverse Model'!AF10</f>
        <v>-43.82081594519218</v>
      </c>
    </row>
    <row r="20" spans="1:4" x14ac:dyDescent="0.2">
      <c r="A20" s="10" t="s">
        <v>84</v>
      </c>
    </row>
    <row r="21" spans="1:4" x14ac:dyDescent="0.2">
      <c r="A21" t="s">
        <v>99</v>
      </c>
      <c r="B21" t="s">
        <v>427</v>
      </c>
      <c r="C21" t="s">
        <v>455</v>
      </c>
      <c r="D21" t="s">
        <v>456</v>
      </c>
    </row>
    <row r="22" spans="1:4" x14ac:dyDescent="0.2">
      <c r="A22" s="20">
        <v>42323.25</v>
      </c>
      <c r="B22" s="17">
        <f>'Single Box Model Fluxes'!AK71</f>
        <v>-0.10411119455538795</v>
      </c>
      <c r="C22" s="17">
        <f>'Non-Dispersive Model Output'!T39</f>
        <v>8.7081355861241966E-2</v>
      </c>
      <c r="D22" s="17">
        <f>'MultiBox Eulerian Inverse Model'!X27</f>
        <v>0.5064872925856666</v>
      </c>
    </row>
    <row r="23" spans="1:4" x14ac:dyDescent="0.2">
      <c r="A23" s="20">
        <f>42323+(8/24)</f>
        <v>42323.333333333336</v>
      </c>
      <c r="B23" s="17">
        <f>'Single Box Model Fluxes'!AK72</f>
        <v>-4.1006124979756304</v>
      </c>
      <c r="C23" s="17">
        <f>'Non-Dispersive Model Output'!T40</f>
        <v>3.1597329225231313E-2</v>
      </c>
      <c r="D23" s="17">
        <f>'MultiBox Eulerian Inverse Model'!X28</f>
        <v>-2.6947678590142052</v>
      </c>
    </row>
    <row r="24" spans="1:4" x14ac:dyDescent="0.2">
      <c r="A24" s="20">
        <f>42323+(10/24)</f>
        <v>42323.416666666664</v>
      </c>
      <c r="B24" s="17">
        <f>'Single Box Model Fluxes'!AK73</f>
        <v>-2.613743678082638</v>
      </c>
      <c r="C24" s="17">
        <f>'Non-Dispersive Model Output'!T41</f>
        <v>16.178034199693062</v>
      </c>
      <c r="D24" s="17">
        <f>'MultiBox Eulerian Inverse Model'!X29</f>
        <v>-2.6875421729676625</v>
      </c>
    </row>
    <row r="25" spans="1:4" x14ac:dyDescent="0.2">
      <c r="A25" s="20">
        <f>42323+0.5</f>
        <v>42323.5</v>
      </c>
      <c r="B25" s="17">
        <f>'Single Box Model Fluxes'!AK74</f>
        <v>-3.0520585584415105</v>
      </c>
      <c r="C25" s="17">
        <f>'Non-Dispersive Model Output'!T42</f>
        <v>-2.2649517143815348</v>
      </c>
      <c r="D25" s="17">
        <f>'MultiBox Eulerian Inverse Model'!X30</f>
        <v>-2.6875161353928632</v>
      </c>
    </row>
    <row r="26" spans="1:4" x14ac:dyDescent="0.2">
      <c r="A26" s="20">
        <f>42323+(16/24)</f>
        <v>42323.666666666664</v>
      </c>
      <c r="B26" s="17">
        <f>'Single Box Model Fluxes'!AK75</f>
        <v>0.27332160081190299</v>
      </c>
      <c r="C26" s="17">
        <f>'Non-Dispersive Model Output'!T43</f>
        <v>-1.3574672124582896</v>
      </c>
      <c r="D26" s="17">
        <f>'MultiBox Eulerian Inverse Model'!X31</f>
        <v>-2.7256416841647013</v>
      </c>
    </row>
    <row r="27" spans="1:4" x14ac:dyDescent="0.2">
      <c r="A27" s="20">
        <f>42323+(18/24)</f>
        <v>42323.75</v>
      </c>
      <c r="B27" s="17">
        <f>'Single Box Model Fluxes'!AK76</f>
        <v>-0.21046166527896557</v>
      </c>
      <c r="C27" s="17">
        <f>'Non-Dispersive Model Output'!T44</f>
        <v>-4.2483952934542959</v>
      </c>
      <c r="D27" s="17">
        <f>'MultiBox Eulerian Inverse Model'!X32</f>
        <v>-0.17939651165534337</v>
      </c>
    </row>
    <row r="28" spans="1:4" x14ac:dyDescent="0.2">
      <c r="A28" s="20">
        <f>42323+(22/24)</f>
        <v>42323.916666666664</v>
      </c>
      <c r="B28" s="17">
        <f>'Single Box Model Fluxes'!AK77</f>
        <v>-0.24561066704300291</v>
      </c>
      <c r="C28" s="17">
        <f>'Non-Dispersive Model Output'!T45</f>
        <v>-0.3055952505576921</v>
      </c>
      <c r="D28" s="17">
        <f>'MultiBox Eulerian Inverse Model'!X33</f>
        <v>-0.28333333333333333</v>
      </c>
    </row>
    <row r="29" spans="1:4" x14ac:dyDescent="0.2">
      <c r="A29" s="20">
        <f>42324</f>
        <v>42324</v>
      </c>
      <c r="B29" s="17">
        <f>'Single Box Model Fluxes'!AK78</f>
        <v>-0.27757150612035569</v>
      </c>
      <c r="C29" s="17">
        <f>'Non-Dispersive Model Output'!T46</f>
        <v>-0.25028947820047048</v>
      </c>
      <c r="D29" s="17">
        <f>'MultiBox Eulerian Inverse Model'!X34</f>
        <v>-0.28333333333333333</v>
      </c>
    </row>
    <row r="30" spans="1:4" x14ac:dyDescent="0.2">
      <c r="A30" s="20">
        <f>42324+(2/24)</f>
        <v>42324.083333333336</v>
      </c>
      <c r="B30" s="17">
        <f>'Single Box Model Fluxes'!AK79</f>
        <v>-0.38690990719367052</v>
      </c>
      <c r="C30" s="17">
        <f>'Non-Dispersive Model Output'!T47</f>
        <v>-0.2468114933980505</v>
      </c>
      <c r="D30" s="17">
        <f>'MultiBox Eulerian Inverse Model'!X35</f>
        <v>-0.28333333333333333</v>
      </c>
    </row>
    <row r="31" spans="1:4" x14ac:dyDescent="0.2">
      <c r="A31" s="20">
        <f>42324+(4/24)</f>
        <v>42324.166666666664</v>
      </c>
      <c r="B31" s="17">
        <f>'Single Box Model Fluxes'!AK80</f>
        <v>-0.16631517219506989</v>
      </c>
      <c r="C31" s="17">
        <f>'Non-Dispersive Model Output'!T48</f>
        <v>-0.31274715409956266</v>
      </c>
      <c r="D31" s="17">
        <f>'MultiBox Eulerian Inverse Model'!X36</f>
        <v>-0.28333333333333333</v>
      </c>
    </row>
    <row r="33" spans="1:4" x14ac:dyDescent="0.2">
      <c r="A33" s="19" t="s">
        <v>429</v>
      </c>
      <c r="B33" s="17">
        <f>'Single Box Model Fluxes'!AL71</f>
        <v>-0.76567121113912195</v>
      </c>
      <c r="C33" s="17">
        <f>'Non-Dispersive Model Output'!T53</f>
        <v>-0.55429395686164529</v>
      </c>
      <c r="D33" s="17">
        <f>'MultiBox Eulerian Inverse Model'!AD27</f>
        <v>-0.78568561452003582</v>
      </c>
    </row>
    <row r="34" spans="1:4" x14ac:dyDescent="0.2">
      <c r="A34" t="s">
        <v>428</v>
      </c>
      <c r="B34" s="51">
        <f>'Single Box Model Fluxes'!B86</f>
        <v>311.91683241431718</v>
      </c>
      <c r="C34" s="51">
        <f>'Non-Dispersive Model Output'!P53</f>
        <v>110.43134778460673</v>
      </c>
      <c r="D34" s="51">
        <f>'MultiBox Eulerian Inverse Model'!AE27</f>
        <v>292.23336315847268</v>
      </c>
    </row>
    <row r="35" spans="1:4" x14ac:dyDescent="0.2">
      <c r="A35" t="s">
        <v>430</v>
      </c>
      <c r="B35" s="51">
        <f>'Single Box Model Fluxes'!B87</f>
        <v>-54.652647848587748</v>
      </c>
      <c r="C35" s="51">
        <f>'Non-Dispersive Model Output'!R53</f>
        <v>-48.257845307378822</v>
      </c>
      <c r="D35" s="51">
        <f>'MultiBox Eulerian Inverse Model'!AF27</f>
        <v>-66.420701351356158</v>
      </c>
    </row>
    <row r="37" spans="1:4" x14ac:dyDescent="0.2">
      <c r="A37" s="10" t="s">
        <v>85</v>
      </c>
    </row>
    <row r="38" spans="1:4" x14ac:dyDescent="0.2">
      <c r="A38" t="s">
        <v>99</v>
      </c>
      <c r="B38" t="s">
        <v>427</v>
      </c>
      <c r="C38" t="s">
        <v>455</v>
      </c>
      <c r="D38" t="s">
        <v>456</v>
      </c>
    </row>
    <row r="39" spans="1:4" x14ac:dyDescent="0.2">
      <c r="A39" s="20">
        <v>42300.260416666664</v>
      </c>
      <c r="B39" s="17">
        <f>'Single Box Model Fluxes'!AK118</f>
        <v>1.0511140258428362</v>
      </c>
      <c r="C39" s="17">
        <f>'Non-Dispersive Model Output'!T57</f>
        <v>-0.44158567650865366</v>
      </c>
      <c r="D39" s="17">
        <f>'MultiBox Eulerian Inverse Model'!X42</f>
        <v>8.7953451446424052E-2</v>
      </c>
    </row>
    <row r="40" spans="1:4" x14ac:dyDescent="0.2">
      <c r="A40" s="20">
        <v>42300.333333333336</v>
      </c>
      <c r="B40" s="17">
        <f>'Single Box Model Fluxes'!AK119</f>
        <v>-1.2221997187644127</v>
      </c>
      <c r="C40" s="17">
        <f>'Non-Dispersive Model Output'!T58</f>
        <v>-4.0444849359181613E-2</v>
      </c>
      <c r="D40" s="17">
        <f>'MultiBox Eulerian Inverse Model'!X43</f>
        <v>-1.4375740089205107</v>
      </c>
    </row>
    <row r="41" spans="1:4" x14ac:dyDescent="0.2">
      <c r="A41" s="20">
        <v>42300.416666666664</v>
      </c>
      <c r="B41" s="17">
        <f>'Single Box Model Fluxes'!AK120</f>
        <v>-1.4912646541816168</v>
      </c>
      <c r="C41" s="17">
        <f>'Non-Dispersive Model Output'!T59</f>
        <v>-1.0951728129792597</v>
      </c>
      <c r="D41" s="17">
        <f>'MultiBox Eulerian Inverse Model'!X44</f>
        <v>-1.4375000192399141</v>
      </c>
    </row>
    <row r="42" spans="1:4" x14ac:dyDescent="0.2">
      <c r="A42" s="20">
        <v>42300.5</v>
      </c>
      <c r="B42" s="17">
        <f>'Single Box Model Fluxes'!AK121</f>
        <v>-0.96641138065544685</v>
      </c>
      <c r="C42" s="17">
        <f>'Non-Dispersive Model Output'!T60</f>
        <v>-0.69299168741700012</v>
      </c>
      <c r="D42" s="17">
        <f>'MultiBox Eulerian Inverse Model'!X45</f>
        <v>-1.4375000019850299</v>
      </c>
    </row>
    <row r="43" spans="1:4" x14ac:dyDescent="0.2">
      <c r="A43" s="20">
        <v>42300.583333333336</v>
      </c>
      <c r="B43" s="17">
        <f>'Single Box Model Fluxes'!AK122</f>
        <v>-1.0513412670662212</v>
      </c>
      <c r="C43" s="17">
        <f>'Non-Dispersive Model Output'!T61</f>
        <v>-0.70123275642923488</v>
      </c>
      <c r="D43" s="17">
        <f>'MultiBox Eulerian Inverse Model'!X46</f>
        <v>-1.4375001128451887</v>
      </c>
    </row>
    <row r="44" spans="1:4" x14ac:dyDescent="0.2">
      <c r="A44" s="20">
        <v>42300.666666666664</v>
      </c>
      <c r="B44" s="17">
        <f>'Single Box Model Fluxes'!AK123</f>
        <v>-0.98769912650089786</v>
      </c>
      <c r="C44" s="17">
        <f>'Non-Dispersive Model Output'!T62</f>
        <v>-0.5206946993392132</v>
      </c>
      <c r="D44" s="17">
        <f>'MultiBox Eulerian Inverse Model'!X47</f>
        <v>-1.4375920669248476</v>
      </c>
    </row>
    <row r="45" spans="1:4" x14ac:dyDescent="0.2">
      <c r="A45" s="20">
        <v>42300.739583333336</v>
      </c>
      <c r="B45" s="17">
        <f>'Single Box Model Fluxes'!AK124</f>
        <v>-0.15308007551491681</v>
      </c>
      <c r="C45" s="17">
        <f>'Non-Dispersive Model Output'!T63</f>
        <v>-0.33602666158793471</v>
      </c>
      <c r="D45" s="17">
        <f>'MultiBox Eulerian Inverse Model'!X48</f>
        <v>4.3126905168179519E-2</v>
      </c>
    </row>
    <row r="46" spans="1:4" x14ac:dyDescent="0.2">
      <c r="A46" s="20">
        <v>42300.916666666664</v>
      </c>
      <c r="B46" s="17">
        <f>'Single Box Model Fluxes'!AK125</f>
        <v>-0.40156730818114461</v>
      </c>
      <c r="C46" s="17">
        <f>'Non-Dispersive Model Output'!T64</f>
        <v>-0.32923946658617148</v>
      </c>
      <c r="D46" s="17">
        <f>'MultiBox Eulerian Inverse Model'!X49</f>
        <v>-0.26470588235294118</v>
      </c>
    </row>
    <row r="47" spans="1:4" x14ac:dyDescent="0.2">
      <c r="A47" s="20">
        <v>42301.00277777778</v>
      </c>
      <c r="B47" s="17">
        <f>'Single Box Model Fluxes'!AK126</f>
        <v>-0.35199033547926417</v>
      </c>
      <c r="C47" s="17">
        <f>'Non-Dispersive Model Output'!T65</f>
        <v>-0.3602196726782142</v>
      </c>
      <c r="D47" s="17">
        <f>'MultiBox Eulerian Inverse Model'!X50</f>
        <v>-0.26470588235294118</v>
      </c>
    </row>
    <row r="48" spans="1:4" x14ac:dyDescent="0.2">
      <c r="A48" s="20">
        <v>42301.086111111108</v>
      </c>
      <c r="B48" s="17">
        <f>'Single Box Model Fluxes'!AK127</f>
        <v>-0.36208407757714445</v>
      </c>
      <c r="C48" s="17">
        <f>'Non-Dispersive Model Output'!T66</f>
        <v>-0.34205341695470948</v>
      </c>
      <c r="D48" s="17">
        <f>'MultiBox Eulerian Inverse Model'!X51</f>
        <v>-0.26470588235294118</v>
      </c>
    </row>
    <row r="49" spans="1:4" x14ac:dyDescent="0.2">
      <c r="A49" s="20">
        <v>42301.166666666664</v>
      </c>
      <c r="B49" s="17">
        <f>'Single Box Model Fluxes'!AK128</f>
        <v>-0.35519978797272872</v>
      </c>
      <c r="C49" s="17">
        <f>'Non-Dispersive Model Output'!T67</f>
        <v>-0.36839427331615038</v>
      </c>
      <c r="D49" s="17">
        <f>'MultiBox Eulerian Inverse Model'!X52</f>
        <v>-0.26470588235294118</v>
      </c>
    </row>
    <row r="51" spans="1:4" x14ac:dyDescent="0.2">
      <c r="A51" s="19" t="s">
        <v>429</v>
      </c>
      <c r="B51" s="17">
        <f>'Single Box Model Fluxes'!AL117</f>
        <v>-0.57372702722341928</v>
      </c>
      <c r="C51" s="17">
        <f>'Non-Dispersive Model Output'!T70</f>
        <v>-0.46623344856864452</v>
      </c>
      <c r="D51" s="17">
        <f>'MultiBox Eulerian Inverse Model'!AD42</f>
        <v>-0.62324296484696062</v>
      </c>
    </row>
    <row r="52" spans="1:4" x14ac:dyDescent="0.2">
      <c r="A52" t="s">
        <v>428</v>
      </c>
      <c r="B52" s="51">
        <f>'Single Box Model Fluxes'!B133</f>
        <v>140.7856492489594</v>
      </c>
      <c r="C52" s="51">
        <f>'Non-Dispersive Model Output'!P70</f>
        <v>12.006906289862396</v>
      </c>
      <c r="D52" s="51">
        <f>'MultiBox Eulerian Inverse Model'!AE42</f>
        <v>130.98682308994466</v>
      </c>
    </row>
    <row r="53" spans="1:4" x14ac:dyDescent="0.2">
      <c r="A53" t="s">
        <v>430</v>
      </c>
      <c r="B53" s="51">
        <f>'Single Box Model Fluxes'!B134</f>
        <v>-75.095602620080399</v>
      </c>
      <c r="C53" s="51">
        <f>'Non-Dispersive Model Output'!R70</f>
        <v>-46.353666684673385</v>
      </c>
      <c r="D53" s="51">
        <f>'MultiBox Eulerian Inverse Model'!AF42</f>
        <v>-65.675964081215028</v>
      </c>
    </row>
    <row r="55" spans="1:4" x14ac:dyDescent="0.2">
      <c r="A55" s="10" t="s">
        <v>86</v>
      </c>
    </row>
    <row r="56" spans="1:4" x14ac:dyDescent="0.2">
      <c r="A56" t="s">
        <v>99</v>
      </c>
      <c r="B56" t="s">
        <v>427</v>
      </c>
      <c r="C56" t="s">
        <v>455</v>
      </c>
      <c r="D56" t="s">
        <v>456</v>
      </c>
    </row>
    <row r="57" spans="1:4" x14ac:dyDescent="0.2">
      <c r="A57" s="20">
        <v>42817.5</v>
      </c>
      <c r="B57" s="17">
        <f>'Single Box Model Fluxes'!AK164</f>
        <v>-1.475352676548747</v>
      </c>
      <c r="C57" s="17">
        <f>'Non-Dispersive Model Output'!T74</f>
        <v>-0.58168641847899072</v>
      </c>
      <c r="D57" s="17">
        <f>'MultiBox Eulerian Inverse Model'!X59</f>
        <v>-1.0740710785424035</v>
      </c>
    </row>
    <row r="58" spans="1:4" x14ac:dyDescent="0.2">
      <c r="A58" s="20">
        <f t="shared" ref="A58:A67" si="0">A57+(1/24*2)</f>
        <v>42817.583333333336</v>
      </c>
      <c r="B58" s="17">
        <f>'Single Box Model Fluxes'!AK165</f>
        <v>-1.030900995413436</v>
      </c>
      <c r="C58" s="17">
        <f>'Non-Dispersive Model Output'!T75</f>
        <v>-0.56444833585066068</v>
      </c>
      <c r="D58" s="17">
        <f>'MultiBox Eulerian Inverse Model'!X60</f>
        <v>-1.074056517942676</v>
      </c>
    </row>
    <row r="59" spans="1:4" x14ac:dyDescent="0.2">
      <c r="A59" s="20">
        <f t="shared" si="0"/>
        <v>42817.666666666672</v>
      </c>
      <c r="B59" s="17">
        <f>'Single Box Model Fluxes'!AK166</f>
        <v>-2.016562163153484</v>
      </c>
      <c r="C59" s="17">
        <f>'Non-Dispersive Model Output'!T76</f>
        <v>-0.46937285866075568</v>
      </c>
      <c r="D59" s="17">
        <f>'MultiBox Eulerian Inverse Model'!X61</f>
        <v>-1.0726582074732038</v>
      </c>
    </row>
    <row r="60" spans="1:4" x14ac:dyDescent="0.2">
      <c r="A60" s="20">
        <f t="shared" si="0"/>
        <v>42817.750000000007</v>
      </c>
      <c r="B60" s="17">
        <f>'Single Box Model Fluxes'!AK167</f>
        <v>-0.23688957520206236</v>
      </c>
      <c r="C60" s="17">
        <f>'Non-Dispersive Model Output'!T77</f>
        <v>-0.34939875568976075</v>
      </c>
      <c r="D60" s="17">
        <f>'MultiBox Eulerian Inverse Model'!X62</f>
        <v>-0.92360303606880911</v>
      </c>
    </row>
    <row r="61" spans="1:4" x14ac:dyDescent="0.2">
      <c r="A61" s="20">
        <f t="shared" si="0"/>
        <v>42817.833333333343</v>
      </c>
      <c r="B61" s="17">
        <f>'Single Box Model Fluxes'!AK168</f>
        <v>-0.72153930736429128</v>
      </c>
      <c r="C61" s="17">
        <f>'Non-Dispersive Model Output'!T78</f>
        <v>0.14546283551345351</v>
      </c>
      <c r="D61" s="17">
        <f>'MultiBox Eulerian Inverse Model'!X63</f>
        <v>-0.93333333333333335</v>
      </c>
    </row>
    <row r="62" spans="1:4" x14ac:dyDescent="0.2">
      <c r="A62" s="20">
        <f t="shared" si="0"/>
        <v>42817.916666666679</v>
      </c>
      <c r="B62" s="17">
        <f>'Single Box Model Fluxes'!AK169</f>
        <v>-0.79306045358097799</v>
      </c>
      <c r="C62" s="17">
        <f>'Non-Dispersive Model Output'!T79</f>
        <v>-1.0603210998518851</v>
      </c>
      <c r="D62" s="17">
        <f>'MultiBox Eulerian Inverse Model'!X64</f>
        <v>-0.93333333333333335</v>
      </c>
    </row>
    <row r="63" spans="1:4" x14ac:dyDescent="0.2">
      <c r="A63" s="20">
        <f t="shared" si="0"/>
        <v>42818.000000000015</v>
      </c>
      <c r="B63" s="17">
        <f>'Single Box Model Fluxes'!AK170</f>
        <v>-1.0696215128547246</v>
      </c>
      <c r="C63" s="17">
        <f>'Non-Dispersive Model Output'!T80</f>
        <v>-1.0182287581351828</v>
      </c>
      <c r="D63" s="17">
        <f>'MultiBox Eulerian Inverse Model'!X65</f>
        <v>-0.93333333333333335</v>
      </c>
    </row>
    <row r="64" spans="1:4" x14ac:dyDescent="0.2">
      <c r="A64" s="20">
        <f t="shared" si="0"/>
        <v>42818.08333333335</v>
      </c>
      <c r="B64" s="17">
        <f>'Single Box Model Fluxes'!AK171</f>
        <v>-0.93579819161804623</v>
      </c>
      <c r="C64" s="17">
        <f>'Non-Dispersive Model Output'!T81</f>
        <v>-0.83275866123550302</v>
      </c>
      <c r="D64" s="17">
        <f>'MultiBox Eulerian Inverse Model'!X66</f>
        <v>-0.93333333333333335</v>
      </c>
    </row>
    <row r="65" spans="1:4" x14ac:dyDescent="0.2">
      <c r="A65" s="20">
        <f>A64+(1/24*4)</f>
        <v>42818.250000000015</v>
      </c>
      <c r="B65" s="17">
        <f>'Single Box Model Fluxes'!AK172</f>
        <v>2.2123175315349957</v>
      </c>
      <c r="C65" s="17">
        <f>'Non-Dispersive Model Output'!T82</f>
        <v>-0.78350330517142031</v>
      </c>
      <c r="D65" s="17">
        <f>'MultiBox Eulerian Inverse Model'!X67</f>
        <v>-0.93333333333333335</v>
      </c>
    </row>
    <row r="66" spans="1:4" x14ac:dyDescent="0.2">
      <c r="A66" s="20">
        <f t="shared" si="0"/>
        <v>42818.33333333335</v>
      </c>
      <c r="B66" s="17">
        <f>'Single Box Model Fluxes'!AK173</f>
        <v>-1.3912556504754729</v>
      </c>
      <c r="C66" s="17">
        <f>'Non-Dispersive Model Output'!T83</f>
        <v>-1.0859555391237161</v>
      </c>
      <c r="D66" s="17">
        <f>'MultiBox Eulerian Inverse Model'!X68</f>
        <v>-1.0727356237270096</v>
      </c>
    </row>
    <row r="67" spans="1:4" x14ac:dyDescent="0.2">
      <c r="A67" s="20">
        <f t="shared" si="0"/>
        <v>42818.416666666686</v>
      </c>
      <c r="B67" s="17">
        <f>'Single Box Model Fluxes'!AK174</f>
        <v>-0.79267467329325547</v>
      </c>
      <c r="C67" s="17">
        <f>'Non-Dispersive Model Output'!T84</f>
        <v>-0.50469435833976595</v>
      </c>
      <c r="D67" s="17">
        <f>'MultiBox Eulerian Inverse Model'!X69</f>
        <v>-1.0740375970207305</v>
      </c>
    </row>
    <row r="69" spans="1:4" x14ac:dyDescent="0.2">
      <c r="A69" s="19" t="s">
        <v>429</v>
      </c>
      <c r="B69" s="17">
        <f>'Single Box Model Fluxes'!AL163</f>
        <v>-0.85952211468797635</v>
      </c>
      <c r="C69" s="17">
        <f>'Non-Dispersive Model Output'!T87</f>
        <v>-0.59151892107483073</v>
      </c>
      <c r="D69" s="17">
        <f>'MultiBox Eulerian Inverse Model'!AD58</f>
        <v>-1.0222957100500099</v>
      </c>
    </row>
    <row r="70" spans="1:4" x14ac:dyDescent="0.2">
      <c r="A70" t="s">
        <v>428</v>
      </c>
      <c r="B70" s="51">
        <f>'Single Box Model Fluxes'!B179</f>
        <v>1.6025984475295729</v>
      </c>
      <c r="C70" s="51">
        <f>'Non-Dispersive Model Output'!P87</f>
        <v>-55.614524819902812</v>
      </c>
      <c r="D70" s="51">
        <f>'MultiBox Eulerian Inverse Model'!AE58</f>
        <v>-49.262044950954845</v>
      </c>
    </row>
    <row r="71" spans="1:4" x14ac:dyDescent="0.2">
      <c r="A71" t="s">
        <v>430</v>
      </c>
      <c r="B71" s="51">
        <f>'Single Box Model Fluxes'!B180</f>
        <v>-90.475051208380592</v>
      </c>
      <c r="C71" s="51">
        <f>'Non-Dispersive Model Output'!R87</f>
        <v>-117.92663052322416</v>
      </c>
      <c r="D71" s="51">
        <f>'MultiBox Eulerian Inverse Model'!AF58</f>
        <v>-73.773417132632389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CD959-8B57-F94C-A6B6-85992D18B98F}">
  <dimension ref="A1:X209"/>
  <sheetViews>
    <sheetView topLeftCell="E104" workbookViewId="0">
      <selection activeCell="E32" sqref="E32"/>
    </sheetView>
  </sheetViews>
  <sheetFormatPr baseColWidth="10" defaultRowHeight="16" x14ac:dyDescent="0.2"/>
  <cols>
    <col min="1" max="1" width="48" bestFit="1" customWidth="1"/>
    <col min="2" max="2" width="30.1640625" bestFit="1" customWidth="1"/>
    <col min="3" max="3" width="30.83203125" bestFit="1" customWidth="1"/>
    <col min="4" max="4" width="30.1640625" bestFit="1" customWidth="1"/>
    <col min="5" max="5" width="13.33203125" bestFit="1" customWidth="1"/>
    <col min="6" max="6" width="14.6640625" bestFit="1" customWidth="1"/>
    <col min="7" max="7" width="21.5" bestFit="1" customWidth="1"/>
    <col min="8" max="8" width="14.33203125" bestFit="1" customWidth="1"/>
    <col min="9" max="9" width="17.33203125" bestFit="1" customWidth="1"/>
    <col min="10" max="11" width="21.6640625" bestFit="1" customWidth="1"/>
    <col min="12" max="12" width="14.6640625" bestFit="1" customWidth="1"/>
    <col min="13" max="13" width="17.6640625" bestFit="1" customWidth="1"/>
    <col min="14" max="14" width="13.1640625" bestFit="1" customWidth="1"/>
    <col min="15" max="15" width="14.6640625" bestFit="1" customWidth="1"/>
    <col min="16" max="16" width="20.83203125" bestFit="1" customWidth="1"/>
    <col min="17" max="17" width="12.1640625" bestFit="1" customWidth="1"/>
    <col min="18" max="18" width="23.33203125" bestFit="1" customWidth="1"/>
    <col min="19" max="19" width="15.1640625" bestFit="1" customWidth="1"/>
    <col min="20" max="22" width="23.33203125" bestFit="1" customWidth="1"/>
    <col min="23" max="23" width="13.1640625" bestFit="1" customWidth="1"/>
    <col min="24" max="24" width="20.33203125" bestFit="1" customWidth="1"/>
  </cols>
  <sheetData>
    <row r="1" spans="1:24" x14ac:dyDescent="0.2">
      <c r="A1" s="10" t="s">
        <v>70</v>
      </c>
    </row>
    <row r="2" spans="1:24" x14ac:dyDescent="0.2">
      <c r="A2" s="2" t="s">
        <v>71</v>
      </c>
      <c r="B2" s="2" t="s">
        <v>72</v>
      </c>
      <c r="C2" s="2" t="s">
        <v>21</v>
      </c>
      <c r="D2" s="2" t="s">
        <v>81</v>
      </c>
      <c r="E2" s="2" t="s">
        <v>73</v>
      </c>
      <c r="F2" s="2"/>
      <c r="G2" s="2" t="s">
        <v>82</v>
      </c>
      <c r="H2" s="2" t="s">
        <v>74</v>
      </c>
      <c r="I2" s="2" t="s">
        <v>75</v>
      </c>
      <c r="J2" s="2" t="s">
        <v>76</v>
      </c>
      <c r="K2" s="2" t="s">
        <v>77</v>
      </c>
      <c r="L2" s="2"/>
      <c r="M2" s="2" t="s">
        <v>78</v>
      </c>
      <c r="N2" s="2"/>
      <c r="O2" s="2" t="s">
        <v>83</v>
      </c>
      <c r="P2" s="2" t="s">
        <v>300</v>
      </c>
      <c r="Q2" s="2" t="s">
        <v>79</v>
      </c>
      <c r="R2" s="2" t="s">
        <v>80</v>
      </c>
      <c r="T2" t="s">
        <v>68</v>
      </c>
      <c r="U2" s="2" t="s">
        <v>310</v>
      </c>
      <c r="V2" s="2" t="s">
        <v>312</v>
      </c>
      <c r="W2" s="2" t="s">
        <v>311</v>
      </c>
      <c r="X2" s="2" t="s">
        <v>313</v>
      </c>
    </row>
    <row r="3" spans="1:24" x14ac:dyDescent="0.2">
      <c r="A3" s="19">
        <v>0.45833333333333331</v>
      </c>
      <c r="B3" s="18">
        <v>28.382400000000001</v>
      </c>
      <c r="C3" s="18">
        <v>35.452350000000003</v>
      </c>
      <c r="D3" s="2">
        <v>2313.69</v>
      </c>
      <c r="E3" s="18">
        <f>(D3/C3)*35.4</f>
        <v>2310.2735361689702</v>
      </c>
      <c r="F3" s="2"/>
      <c r="G3" s="18">
        <v>1922.9808989999999</v>
      </c>
      <c r="H3" s="18">
        <f>(G3/C3)*35.4</f>
        <v>1920.1413679093203</v>
      </c>
      <c r="I3" s="12">
        <v>1996.0291748046875</v>
      </c>
      <c r="J3" s="30">
        <v>8.018815</v>
      </c>
      <c r="K3" s="31">
        <v>10.399481711026231</v>
      </c>
      <c r="L3" s="14"/>
      <c r="M3" s="15">
        <v>8.1292505264282227</v>
      </c>
      <c r="N3" s="16"/>
      <c r="O3" s="18">
        <v>232.78</v>
      </c>
      <c r="P3" s="18">
        <f t="shared" ref="P3:P15" si="0">(O3/C3)*35.4</f>
        <v>232.43627009210954</v>
      </c>
      <c r="Q3" s="18">
        <v>194.72807069999999</v>
      </c>
      <c r="R3" s="18">
        <v>189.97860560000001</v>
      </c>
      <c r="S3" s="17"/>
      <c r="T3" s="17">
        <v>4.1666700000000008</v>
      </c>
      <c r="U3" s="17">
        <f>'All Experimental Diel Data'!U3</f>
        <v>377.92443458635239</v>
      </c>
      <c r="V3">
        <f>(0.251*(T3)^2*(U3/660)^(-0.5))/100</f>
        <v>5.7586596925940634E-2</v>
      </c>
      <c r="W3" s="17">
        <f>'All Experimental Diel Data'!W3</f>
        <v>444.0506807934529</v>
      </c>
      <c r="X3">
        <f>(0.251*(T3)^2*(W3/660)^(-0.5))/100</f>
        <v>5.3126062710610801E-2</v>
      </c>
    </row>
    <row r="4" spans="1:24" x14ac:dyDescent="0.2">
      <c r="A4" s="19">
        <v>0.54166666666666663</v>
      </c>
      <c r="B4" s="18">
        <v>28.969850000000001</v>
      </c>
      <c r="C4" s="18">
        <v>35.465800000000002</v>
      </c>
      <c r="D4" s="2">
        <v>2307.86</v>
      </c>
      <c r="E4" s="18">
        <f t="shared" ref="E4:E15" si="1">(D4/C4)*35.4</f>
        <v>2303.5782077381591</v>
      </c>
      <c r="F4" s="2"/>
      <c r="G4" s="18">
        <v>1893.1279010000001</v>
      </c>
      <c r="H4" s="18">
        <f t="shared" ref="H4:H15" si="2">(G4/C4)*35.4</f>
        <v>1889.6155647243258</v>
      </c>
      <c r="I4" s="12">
        <v>1990.860107421875</v>
      </c>
      <c r="J4" s="30">
        <v>7.2601880000000003</v>
      </c>
      <c r="K4" s="31">
        <v>10.256355583100445</v>
      </c>
      <c r="L4" s="14"/>
      <c r="M4" s="15">
        <v>8.1558876037597656</v>
      </c>
      <c r="N4" s="16"/>
      <c r="O4" s="18">
        <v>249.01</v>
      </c>
      <c r="P4" s="18">
        <f t="shared" si="0"/>
        <v>248.5480096318143</v>
      </c>
      <c r="Q4" s="18">
        <v>192.9085896</v>
      </c>
      <c r="R4" s="18">
        <v>188.20350199999999</v>
      </c>
      <c r="S4" s="17"/>
      <c r="T4" s="17">
        <v>3.7500030000000004</v>
      </c>
      <c r="U4" s="17">
        <f>'All Experimental Diel Data'!U4</f>
        <v>367.30209581352392</v>
      </c>
      <c r="V4">
        <f t="shared" ref="V4:V15" si="3">(0.251*(T4)^2*(U4/660)^(-0.5))/100</f>
        <v>4.7314822628388764E-2</v>
      </c>
      <c r="W4" s="17">
        <f>'All Experimental Diel Data'!W4</f>
        <v>431.63994898186286</v>
      </c>
      <c r="X4">
        <f t="shared" ref="X4:X15" si="4">(0.251*(T4)^2*(W4/660)^(-0.5))/100</f>
        <v>4.3646367322413518E-2</v>
      </c>
    </row>
    <row r="5" spans="1:24" x14ac:dyDescent="0.2">
      <c r="A5" s="19">
        <v>0.625</v>
      </c>
      <c r="B5" s="18">
        <v>29.298500000000001</v>
      </c>
      <c r="C5" s="18">
        <v>35.474350000000001</v>
      </c>
      <c r="D5" s="2">
        <v>2288.9</v>
      </c>
      <c r="E5" s="18">
        <f t="shared" si="1"/>
        <v>2284.102739021293</v>
      </c>
      <c r="F5" s="2"/>
      <c r="G5" s="18">
        <v>1868.2767220000001</v>
      </c>
      <c r="H5" s="18">
        <f t="shared" si="2"/>
        <v>1864.3610371662905</v>
      </c>
      <c r="I5" s="12">
        <v>1987.9530029296875</v>
      </c>
      <c r="J5" s="30">
        <v>6.9830059999999996</v>
      </c>
      <c r="K5" s="31">
        <v>10.177792962758058</v>
      </c>
      <c r="L5" s="14"/>
      <c r="M5" s="15">
        <v>8.1627035140991211</v>
      </c>
      <c r="N5" s="16"/>
      <c r="O5" s="18">
        <v>257.62</v>
      </c>
      <c r="P5" s="18">
        <f t="shared" si="0"/>
        <v>257.08005925408077</v>
      </c>
      <c r="Q5" s="18">
        <v>191.90371440000001</v>
      </c>
      <c r="R5" s="18">
        <v>187.22313600000001</v>
      </c>
      <c r="S5" s="17"/>
      <c r="T5" s="17">
        <v>3.6111140000000002</v>
      </c>
      <c r="U5" s="17">
        <f>'All Experimental Diel Data'!U5</f>
        <v>361.48808788750944</v>
      </c>
      <c r="V5">
        <f t="shared" si="3"/>
        <v>4.4226349326630728E-2</v>
      </c>
      <c r="W5" s="17">
        <f>'All Experimental Diel Data'!W5</f>
        <v>424.85290978437854</v>
      </c>
      <c r="X5">
        <f t="shared" si="4"/>
        <v>4.0795173892078596E-2</v>
      </c>
    </row>
    <row r="6" spans="1:24" x14ac:dyDescent="0.2">
      <c r="A6" s="19">
        <v>0.70833333333333304</v>
      </c>
      <c r="B6" s="18">
        <v>29.10435</v>
      </c>
      <c r="C6" s="18">
        <v>35.479550000000003</v>
      </c>
      <c r="D6" s="2">
        <v>2289.67</v>
      </c>
      <c r="E6" s="18">
        <f t="shared" si="1"/>
        <v>2284.5362469366155</v>
      </c>
      <c r="F6" s="2"/>
      <c r="G6" s="18">
        <v>1854.237922</v>
      </c>
      <c r="H6" s="18">
        <f t="shared" si="2"/>
        <v>1850.0804671648878</v>
      </c>
      <c r="I6" s="12">
        <v>1989.6109619140625</v>
      </c>
      <c r="J6" s="30">
        <v>6.5416400000000001</v>
      </c>
      <c r="K6" s="31">
        <v>10.223544817396885</v>
      </c>
      <c r="L6" s="14"/>
      <c r="M6" s="15">
        <v>8.1860761642456055</v>
      </c>
      <c r="N6" s="16"/>
      <c r="O6" s="18">
        <v>263.77999999999997</v>
      </c>
      <c r="P6" s="18">
        <f t="shared" si="0"/>
        <v>263.18856918985716</v>
      </c>
      <c r="Q6" s="18">
        <v>192.48375720000001</v>
      </c>
      <c r="R6" s="18">
        <v>187.7890314</v>
      </c>
      <c r="S6" s="17"/>
      <c r="T6" s="17">
        <v>3.7500030000000004</v>
      </c>
      <c r="U6" s="17">
        <f>'All Experimental Diel Data'!U6</f>
        <v>364.91156853380528</v>
      </c>
      <c r="V6">
        <f t="shared" si="3"/>
        <v>4.7469548796721564E-2</v>
      </c>
      <c r="W6" s="17">
        <f>'All Experimental Diel Data'!W6</f>
        <v>428.84890008559523</v>
      </c>
      <c r="X6">
        <f t="shared" si="4"/>
        <v>4.3788167360637481E-2</v>
      </c>
    </row>
    <row r="7" spans="1:24" x14ac:dyDescent="0.2">
      <c r="A7" s="19">
        <v>0.79166666666666596</v>
      </c>
      <c r="B7" s="18">
        <v>28.41835</v>
      </c>
      <c r="C7" s="18">
        <v>35.498950000000001</v>
      </c>
      <c r="D7" s="2">
        <v>2291.6</v>
      </c>
      <c r="E7" s="18">
        <f t="shared" si="1"/>
        <v>2285.2123795210841</v>
      </c>
      <c r="F7" s="2"/>
      <c r="G7" s="18">
        <v>1878.6712399999999</v>
      </c>
      <c r="H7" s="18">
        <f t="shared" si="2"/>
        <v>1873.4346197845284</v>
      </c>
      <c r="I7" s="12">
        <v>1995.4464111328125</v>
      </c>
      <c r="J7" s="30">
        <v>7.137785</v>
      </c>
      <c r="K7" s="31">
        <v>10.388218800498617</v>
      </c>
      <c r="L7" s="14"/>
      <c r="M7" s="15">
        <v>8.1640939712524414</v>
      </c>
      <c r="N7" s="16"/>
      <c r="O7" s="18">
        <v>226.46</v>
      </c>
      <c r="P7" s="18">
        <f t="shared" si="0"/>
        <v>225.82876394935624</v>
      </c>
      <c r="Q7" s="18">
        <v>194.5597181</v>
      </c>
      <c r="R7" s="18">
        <v>189.81435920000001</v>
      </c>
      <c r="S7" s="17"/>
      <c r="T7" s="17">
        <v>3.8888920000000002</v>
      </c>
      <c r="U7" s="17">
        <f>'All Experimental Diel Data'!U7</f>
        <v>377.26588276583334</v>
      </c>
      <c r="V7">
        <f t="shared" si="3"/>
        <v>5.0208088532416102E-2</v>
      </c>
      <c r="W7" s="17">
        <f>'All Experimental Diel Data'!W7</f>
        <v>443.28080730103966</v>
      </c>
      <c r="X7">
        <f t="shared" si="4"/>
        <v>4.6318873641768184E-2</v>
      </c>
    </row>
    <row r="8" spans="1:24" x14ac:dyDescent="0.2">
      <c r="A8" s="19">
        <v>0.875</v>
      </c>
      <c r="B8" s="18">
        <v>27.833950000000002</v>
      </c>
      <c r="C8" s="18">
        <v>35.519500000000001</v>
      </c>
      <c r="D8" s="2">
        <v>2310.27</v>
      </c>
      <c r="E8" s="18">
        <f t="shared" si="1"/>
        <v>2302.4974450653867</v>
      </c>
      <c r="F8" s="2"/>
      <c r="G8" s="18">
        <v>1905.2625029999999</v>
      </c>
      <c r="H8" s="18">
        <f t="shared" si="2"/>
        <v>1898.852534697842</v>
      </c>
      <c r="I8" s="12">
        <v>2000.374267578125</v>
      </c>
      <c r="J8" s="30">
        <v>7.4586110000000003</v>
      </c>
      <c r="K8" s="31">
        <v>10.532157056449389</v>
      </c>
      <c r="L8" s="14"/>
      <c r="M8" s="15">
        <v>8.1578235626220703</v>
      </c>
      <c r="N8" s="16"/>
      <c r="O8" s="18">
        <v>200.29</v>
      </c>
      <c r="P8" s="18">
        <f t="shared" si="0"/>
        <v>199.61615450667941</v>
      </c>
      <c r="Q8" s="18">
        <v>196.35808320000001</v>
      </c>
      <c r="R8" s="18">
        <v>191.56886159999999</v>
      </c>
      <c r="S8" s="17"/>
      <c r="T8" s="17">
        <v>3.8888920000000002</v>
      </c>
      <c r="U8" s="17">
        <f>'All Experimental Diel Data'!U8</f>
        <v>388.10969219909055</v>
      </c>
      <c r="V8">
        <f t="shared" si="3"/>
        <v>4.9501710928978815E-2</v>
      </c>
      <c r="W8" s="17">
        <f>'All Experimental Diel Data'!W8</f>
        <v>455.96592685329449</v>
      </c>
      <c r="X8">
        <f t="shared" si="4"/>
        <v>4.5670026000301858E-2</v>
      </c>
    </row>
    <row r="9" spans="1:24" x14ac:dyDescent="0.2">
      <c r="A9" s="19">
        <v>0.95833333333333304</v>
      </c>
      <c r="B9" s="18">
        <v>27.272400000000001</v>
      </c>
      <c r="C9" s="18">
        <v>35.517099999999999</v>
      </c>
      <c r="D9" s="2">
        <v>2316.44</v>
      </c>
      <c r="E9" s="18">
        <f t="shared" si="1"/>
        <v>2308.8026894087634</v>
      </c>
      <c r="F9" s="2"/>
      <c r="G9" s="18">
        <v>1967.62</v>
      </c>
      <c r="H9" s="18">
        <f t="shared" si="2"/>
        <v>1961.1327501400733</v>
      </c>
      <c r="I9" s="12">
        <v>2005.219970703125</v>
      </c>
      <c r="J9" s="30">
        <v>9.5200840000000007</v>
      </c>
      <c r="K9" s="31">
        <v>10.675121231886646</v>
      </c>
      <c r="L9" s="14"/>
      <c r="M9" s="15">
        <v>8.0815029144287109</v>
      </c>
      <c r="N9" s="16"/>
      <c r="O9" s="18">
        <v>168.86</v>
      </c>
      <c r="P9" s="18">
        <f t="shared" si="0"/>
        <v>168.30326800329985</v>
      </c>
      <c r="Q9" s="18">
        <v>198.14492430000001</v>
      </c>
      <c r="R9" s="18">
        <v>193.31212120000001</v>
      </c>
      <c r="S9" s="17"/>
      <c r="T9" s="17">
        <v>3.8888920000000002</v>
      </c>
      <c r="U9" s="17">
        <f>'All Experimental Diel Data'!U9</f>
        <v>398.81066192123455</v>
      </c>
      <c r="V9">
        <f t="shared" si="3"/>
        <v>4.8833075142486922E-2</v>
      </c>
      <c r="W9" s="17">
        <f>'All Experimental Diel Data'!W9</f>
        <v>468.50216832222173</v>
      </c>
      <c r="X9">
        <f t="shared" si="4"/>
        <v>4.5054860704913706E-2</v>
      </c>
    </row>
    <row r="10" spans="1:24" x14ac:dyDescent="0.2">
      <c r="A10" s="19">
        <v>1.0416666666666701</v>
      </c>
      <c r="B10" s="18">
        <v>27.14</v>
      </c>
      <c r="C10" s="18">
        <v>35.507599999999996</v>
      </c>
      <c r="D10" s="2">
        <v>2323.62</v>
      </c>
      <c r="E10" s="18">
        <f t="shared" si="1"/>
        <v>2316.5786479514245</v>
      </c>
      <c r="F10" s="2"/>
      <c r="G10" s="18">
        <v>1998.735019</v>
      </c>
      <c r="H10" s="18">
        <f t="shared" si="2"/>
        <v>1992.6781779844314</v>
      </c>
      <c r="I10" s="12">
        <v>2006.4111328125</v>
      </c>
      <c r="J10" s="30">
        <v>10.663318</v>
      </c>
      <c r="K10" s="31">
        <v>10.709827014465613</v>
      </c>
      <c r="L10" s="14"/>
      <c r="M10" s="15">
        <v>8.0446434020996094</v>
      </c>
      <c r="N10" s="16"/>
      <c r="O10" s="18">
        <v>164.03</v>
      </c>
      <c r="P10" s="18">
        <f t="shared" si="0"/>
        <v>163.53293379445529</v>
      </c>
      <c r="Q10" s="18">
        <v>198.58209170000001</v>
      </c>
      <c r="R10" s="18">
        <v>193.7386261</v>
      </c>
      <c r="S10" s="17"/>
      <c r="T10" s="17">
        <v>3.3333360000000001</v>
      </c>
      <c r="U10" s="17">
        <f>'All Experimental Diel Data'!U10</f>
        <v>401.37449603141778</v>
      </c>
      <c r="V10">
        <f t="shared" si="3"/>
        <v>3.5762592000120288E-2</v>
      </c>
      <c r="W10" s="17">
        <f>'All Experimental Diel Data'!W10</f>
        <v>471.50849437776088</v>
      </c>
      <c r="X10">
        <f t="shared" si="4"/>
        <v>3.2995834311904317E-2</v>
      </c>
    </row>
    <row r="11" spans="1:24" x14ac:dyDescent="0.2">
      <c r="A11" s="19">
        <v>1.125</v>
      </c>
      <c r="B11" s="18">
        <v>26.908950000000001</v>
      </c>
      <c r="C11" s="18">
        <v>35.538849999999996</v>
      </c>
      <c r="D11" s="2">
        <v>2316.92</v>
      </c>
      <c r="E11" s="18">
        <f t="shared" si="1"/>
        <v>2307.8678122674205</v>
      </c>
      <c r="F11" s="2"/>
      <c r="G11" s="18">
        <v>1980.598649</v>
      </c>
      <c r="H11" s="18">
        <f t="shared" si="2"/>
        <v>1972.8604660702304</v>
      </c>
      <c r="I11" s="12">
        <v>2008.2127685546875</v>
      </c>
      <c r="J11" s="30">
        <v>10.027920999999999</v>
      </c>
      <c r="K11" s="31">
        <v>10.768239129773466</v>
      </c>
      <c r="L11" s="14"/>
      <c r="M11" s="15">
        <v>8.0669717788696289</v>
      </c>
      <c r="N11" s="16"/>
      <c r="O11" s="18">
        <v>162.76</v>
      </c>
      <c r="P11" s="18">
        <f t="shared" si="0"/>
        <v>162.12409799416696</v>
      </c>
      <c r="Q11" s="18">
        <v>199.28885</v>
      </c>
      <c r="R11" s="18">
        <v>194.42814630000001</v>
      </c>
      <c r="S11" s="17"/>
      <c r="T11" s="17">
        <v>3.0555580000000004</v>
      </c>
      <c r="U11" s="17">
        <f>'All Experimental Diel Data'!U11</f>
        <v>405.88645788329092</v>
      </c>
      <c r="V11">
        <f t="shared" si="3"/>
        <v>2.988301907859876E-2</v>
      </c>
      <c r="W11" s="17">
        <f>'All Experimental Diel Data'!W11</f>
        <v>476.80180039519985</v>
      </c>
      <c r="X11">
        <f t="shared" si="4"/>
        <v>2.757133592072113E-2</v>
      </c>
    </row>
    <row r="12" spans="1:24" x14ac:dyDescent="0.2">
      <c r="A12" s="19">
        <v>1.2083333333333299</v>
      </c>
      <c r="B12" s="18">
        <v>26.658049999999999</v>
      </c>
      <c r="C12" s="18">
        <v>35.555599999999998</v>
      </c>
      <c r="D12" s="2">
        <v>2316.54</v>
      </c>
      <c r="E12" s="18">
        <f t="shared" si="1"/>
        <v>2306.4022544971817</v>
      </c>
      <c r="F12" s="2"/>
      <c r="G12" s="18">
        <v>1982.1698220000001</v>
      </c>
      <c r="H12" s="18">
        <f t="shared" si="2"/>
        <v>1973.4953621595473</v>
      </c>
      <c r="I12" s="12">
        <v>2010.264892578125</v>
      </c>
      <c r="J12" s="30">
        <v>10.079127</v>
      </c>
      <c r="K12" s="31">
        <v>10.833281991773054</v>
      </c>
      <c r="L12" s="14"/>
      <c r="M12" s="15">
        <v>8.0674448013305664</v>
      </c>
      <c r="N12" s="16"/>
      <c r="O12" s="18">
        <v>161.29</v>
      </c>
      <c r="P12" s="18">
        <f t="shared" si="0"/>
        <v>160.58415551980559</v>
      </c>
      <c r="Q12" s="18">
        <v>200.0839584</v>
      </c>
      <c r="R12" s="18">
        <v>195.20386189999999</v>
      </c>
      <c r="S12" s="17"/>
      <c r="T12" s="17">
        <v>3.0555580000000004</v>
      </c>
      <c r="U12" s="17">
        <f>'All Experimental Diel Data'!U12</f>
        <v>410.84114335201332</v>
      </c>
      <c r="V12">
        <f t="shared" si="3"/>
        <v>2.9702280034431369E-2</v>
      </c>
      <c r="W12" s="17">
        <f>'All Experimental Diel Data'!W12</f>
        <v>482.61833321614859</v>
      </c>
      <c r="X12">
        <f t="shared" si="4"/>
        <v>2.7404686937435533E-2</v>
      </c>
    </row>
    <row r="13" spans="1:24" x14ac:dyDescent="0.2">
      <c r="A13" s="19">
        <v>1.2916666666666701</v>
      </c>
      <c r="B13" s="18">
        <v>26.271799999999999</v>
      </c>
      <c r="C13" s="18">
        <v>35.593600000000002</v>
      </c>
      <c r="D13" s="2">
        <v>2324.5500000000002</v>
      </c>
      <c r="E13" s="18">
        <f t="shared" si="1"/>
        <v>2311.9063539512717</v>
      </c>
      <c r="F13" s="2"/>
      <c r="G13" s="18">
        <v>2001.5290339999999</v>
      </c>
      <c r="H13" s="18">
        <f t="shared" si="2"/>
        <v>1990.6423571540947</v>
      </c>
      <c r="I13" s="12">
        <v>2013.3485107421875</v>
      </c>
      <c r="J13" s="30">
        <v>10.643373</v>
      </c>
      <c r="K13" s="31">
        <v>10.934114483832991</v>
      </c>
      <c r="L13" s="14"/>
      <c r="M13" s="15">
        <v>8.0532312393188477</v>
      </c>
      <c r="N13" s="16"/>
      <c r="O13" s="18">
        <v>156.99</v>
      </c>
      <c r="P13" s="18">
        <f t="shared" si="0"/>
        <v>156.13610311966195</v>
      </c>
      <c r="Q13" s="18">
        <v>201.30463689999999</v>
      </c>
      <c r="R13" s="18">
        <v>196.39476769999999</v>
      </c>
      <c r="S13" s="17"/>
      <c r="T13" s="17">
        <v>3.3333360000000001</v>
      </c>
      <c r="U13" s="17">
        <f>'All Experimental Diel Data'!U13</f>
        <v>418.58273446021605</v>
      </c>
      <c r="V13">
        <f t="shared" si="3"/>
        <v>3.5019764345050837E-2</v>
      </c>
      <c r="W13" s="17">
        <f>'All Experimental Diel Data'!W13</f>
        <v>491.71444004509715</v>
      </c>
      <c r="X13">
        <f t="shared" si="4"/>
        <v>3.2310776375955898E-2</v>
      </c>
    </row>
    <row r="14" spans="1:24" x14ac:dyDescent="0.2">
      <c r="A14" s="19">
        <v>1.375</v>
      </c>
      <c r="B14" s="18">
        <v>26.379200000000001</v>
      </c>
      <c r="C14" s="18">
        <v>35.57</v>
      </c>
      <c r="D14" s="2">
        <v>2329.09</v>
      </c>
      <c r="E14" s="18">
        <f t="shared" si="1"/>
        <v>2317.9585605847624</v>
      </c>
      <c r="F14" s="2"/>
      <c r="G14" s="18">
        <v>1994.981503</v>
      </c>
      <c r="H14" s="18">
        <f t="shared" si="2"/>
        <v>1985.4468711329771</v>
      </c>
      <c r="I14" s="12">
        <v>2012.56591796875</v>
      </c>
      <c r="J14" s="30">
        <v>10.168132999999999</v>
      </c>
      <c r="K14" s="31">
        <v>10.906638995147574</v>
      </c>
      <c r="L14" s="14"/>
      <c r="M14" s="15">
        <v>8.0689449310302734</v>
      </c>
      <c r="N14" s="16"/>
      <c r="O14" s="18">
        <v>186.37</v>
      </c>
      <c r="P14" s="18">
        <f t="shared" si="0"/>
        <v>185.47928029238122</v>
      </c>
      <c r="Q14" s="18">
        <v>200.9804355</v>
      </c>
      <c r="R14" s="18">
        <v>196.07847369999999</v>
      </c>
      <c r="S14" s="17"/>
      <c r="T14" s="17">
        <v>3.8888920000000002</v>
      </c>
      <c r="U14" s="17">
        <f>'All Experimental Diel Data'!U14</f>
        <v>416.41608543655116</v>
      </c>
      <c r="V14">
        <f t="shared" si="3"/>
        <v>4.7789634096638299E-2</v>
      </c>
      <c r="W14" s="17">
        <f>'All Experimental Diel Data'!W14</f>
        <v>489.16774522531716</v>
      </c>
      <c r="X14">
        <f t="shared" si="4"/>
        <v>4.4092888237780244E-2</v>
      </c>
    </row>
    <row r="15" spans="1:24" x14ac:dyDescent="0.2">
      <c r="A15" s="19">
        <v>1.4583333333333299</v>
      </c>
      <c r="B15" s="18">
        <v>27.32395</v>
      </c>
      <c r="C15" s="18">
        <v>35.559800000000003</v>
      </c>
      <c r="D15" s="2">
        <v>2316.42</v>
      </c>
      <c r="E15" s="18">
        <f t="shared" si="1"/>
        <v>2306.0103825105875</v>
      </c>
      <c r="F15" s="2"/>
      <c r="G15" s="18">
        <v>1953.6173960000001</v>
      </c>
      <c r="H15" s="18">
        <f t="shared" si="2"/>
        <v>1944.8381548377661</v>
      </c>
      <c r="I15" s="12">
        <v>2004.53125</v>
      </c>
      <c r="J15" s="30">
        <v>8.958278</v>
      </c>
      <c r="K15" s="31">
        <v>10.659543809654528</v>
      </c>
      <c r="L15" s="14"/>
      <c r="M15" s="15">
        <v>8.1016321182250977</v>
      </c>
      <c r="N15" s="16"/>
      <c r="O15" s="18">
        <v>216.77</v>
      </c>
      <c r="P15" s="18">
        <f t="shared" si="0"/>
        <v>215.79587061794498</v>
      </c>
      <c r="Q15" s="18">
        <v>197.92628099999999</v>
      </c>
      <c r="R15" s="18">
        <v>193.0988108</v>
      </c>
      <c r="S15" s="17"/>
      <c r="T15" s="17">
        <v>4.0277810000000001</v>
      </c>
      <c r="U15" s="17">
        <f>'All Experimental Diel Data'!U15</f>
        <v>397.81667522503676</v>
      </c>
      <c r="V15">
        <f t="shared" si="3"/>
        <v>5.2448840954966255E-2</v>
      </c>
      <c r="W15" s="17">
        <f>'All Experimental Diel Data'!W15</f>
        <v>467.33692038207317</v>
      </c>
      <c r="X15">
        <f t="shared" si="4"/>
        <v>4.8390748625441432E-2</v>
      </c>
    </row>
    <row r="17" spans="1:21" x14ac:dyDescent="0.2">
      <c r="A17" t="s">
        <v>99</v>
      </c>
      <c r="B17" t="s">
        <v>148</v>
      </c>
      <c r="C17" t="s">
        <v>149</v>
      </c>
      <c r="D17" t="s">
        <v>150</v>
      </c>
    </row>
    <row r="18" spans="1:21" x14ac:dyDescent="0.2">
      <c r="A18" t="s">
        <v>151</v>
      </c>
      <c r="B18" s="17">
        <f>SLOPE(P3:P6,A3:A6)*(1/24)</f>
        <v>5.0394473457754723</v>
      </c>
      <c r="C18" s="17">
        <f>SLOPE(H3:H6,A3:A6)*(1/24)</f>
        <v>-11.771861489566653</v>
      </c>
      <c r="D18" s="17">
        <f>SLOPE(E3:E6,A3:A6)*(1/24)</f>
        <v>-4.8343668206965109</v>
      </c>
    </row>
    <row r="19" spans="1:21" x14ac:dyDescent="0.2">
      <c r="A19" t="s">
        <v>152</v>
      </c>
      <c r="B19" s="17">
        <f>SLOPE(P6:P9,A6:A9)*(1/24)</f>
        <v>-15.543425650117422</v>
      </c>
      <c r="C19" s="17">
        <f>SLOPE(H6:H9,A6:A9)*(1/24)</f>
        <v>17.928738191943495</v>
      </c>
      <c r="D19" s="17">
        <f>SLOPE(E6:E9,A6:A9)*(1/24)</f>
        <v>4.5042196480373144</v>
      </c>
    </row>
    <row r="20" spans="1:21" x14ac:dyDescent="0.2">
      <c r="A20" t="s">
        <v>153</v>
      </c>
      <c r="B20" s="17">
        <f>SLOPE(P9:P12,A9:A12)*(1/24)</f>
        <v>-1.228308662538582</v>
      </c>
      <c r="C20" s="17">
        <f>SLOPE(H9:H12,A9:A12)*(1/24)</f>
        <v>0.86350620721115823</v>
      </c>
      <c r="D20" s="17">
        <f>SLOPE(E9:E12,A9:A12)*(1/24)</f>
        <v>-0.79560702093743263</v>
      </c>
    </row>
    <row r="21" spans="1:21" x14ac:dyDescent="0.2">
      <c r="A21" t="s">
        <v>154</v>
      </c>
      <c r="B21" s="17">
        <f>SLOPE(P13:P15,A13:A15)*(1/24)</f>
        <v>14.914941874571365</v>
      </c>
      <c r="C21" s="17">
        <f>SLOPE(H13:H15,A13:A15)*(1/24)</f>
        <v>-11.451050579082633</v>
      </c>
      <c r="D21" s="17">
        <f>SLOPE(E13:E15,A13:A15)*(1/24)</f>
        <v>-1.4739928601711121</v>
      </c>
    </row>
    <row r="23" spans="1:21" s="35" customFormat="1" x14ac:dyDescent="0.2">
      <c r="A23" s="33" t="s">
        <v>155</v>
      </c>
      <c r="B23" s="34">
        <v>400</v>
      </c>
    </row>
    <row r="24" spans="1:21" s="35" customFormat="1" x14ac:dyDescent="0.2">
      <c r="A24" s="33" t="s">
        <v>156</v>
      </c>
      <c r="B24" s="34">
        <v>8.75</v>
      </c>
    </row>
    <row r="25" spans="1:21" s="35" customFormat="1" x14ac:dyDescent="0.2">
      <c r="A25" s="33" t="s">
        <v>157</v>
      </c>
      <c r="B25" s="34">
        <v>1</v>
      </c>
    </row>
    <row r="26" spans="1:21" s="35" customFormat="1" x14ac:dyDescent="0.2">
      <c r="A26" s="33" t="s">
        <v>158</v>
      </c>
      <c r="B26" s="34">
        <v>1.0249999999999999</v>
      </c>
    </row>
    <row r="27" spans="1:21" s="35" customFormat="1" x14ac:dyDescent="0.2">
      <c r="A27" s="33" t="s">
        <v>159</v>
      </c>
      <c r="B27" s="34">
        <v>1978</v>
      </c>
    </row>
    <row r="28" spans="1:21" s="35" customFormat="1" x14ac:dyDescent="0.2">
      <c r="A28" s="33" t="s">
        <v>160</v>
      </c>
      <c r="B28" s="34">
        <v>2332</v>
      </c>
    </row>
    <row r="29" spans="1:21" s="35" customFormat="1" x14ac:dyDescent="0.2">
      <c r="A29" s="33" t="s">
        <v>161</v>
      </c>
      <c r="B29" s="34">
        <v>197</v>
      </c>
    </row>
    <row r="30" spans="1:21" s="35" customFormat="1" x14ac:dyDescent="0.2"/>
    <row r="31" spans="1:21" s="35" customFormat="1" x14ac:dyDescent="0.2">
      <c r="A31" s="36" t="s">
        <v>162</v>
      </c>
    </row>
    <row r="32" spans="1:21" s="35" customFormat="1" x14ac:dyDescent="0.2">
      <c r="A32" s="35" t="s">
        <v>163</v>
      </c>
      <c r="B32" s="35" t="s">
        <v>71</v>
      </c>
      <c r="C32" s="35" t="s">
        <v>164</v>
      </c>
      <c r="D32" s="35" t="s">
        <v>165</v>
      </c>
      <c r="E32" s="35" t="s">
        <v>166</v>
      </c>
      <c r="F32" t="s">
        <v>315</v>
      </c>
      <c r="G32" s="35" t="s">
        <v>167</v>
      </c>
      <c r="I32" s="35" t="s">
        <v>168</v>
      </c>
      <c r="J32" s="35" t="s">
        <v>169</v>
      </c>
      <c r="L32" s="35" t="s">
        <v>171</v>
      </c>
      <c r="M32" s="35" t="s">
        <v>172</v>
      </c>
      <c r="N32" s="35" t="s">
        <v>173</v>
      </c>
      <c r="O32" t="s">
        <v>315</v>
      </c>
      <c r="P32" s="35" t="s">
        <v>170</v>
      </c>
      <c r="Q32" s="35" t="s">
        <v>174</v>
      </c>
      <c r="R32" t="s">
        <v>315</v>
      </c>
      <c r="S32" s="35" t="s">
        <v>175</v>
      </c>
      <c r="U32" s="35" t="s">
        <v>176</v>
      </c>
    </row>
    <row r="33" spans="1:21" s="35" customFormat="1" x14ac:dyDescent="0.2">
      <c r="A33" s="35" t="s">
        <v>177</v>
      </c>
      <c r="B33" s="37">
        <v>0.45833333333333331</v>
      </c>
      <c r="C33">
        <f>(V3/$B$25)*(R3-O3)</f>
        <v>-2.464786647181012</v>
      </c>
      <c r="D33">
        <f>(1/$B$24)*$B$29-(1/$B$24)*P3</f>
        <v>-4.0498594390982348</v>
      </c>
      <c r="E33" s="17">
        <f>($B$18)-(C33+D33)</f>
        <v>11.554093432054719</v>
      </c>
      <c r="F33">
        <f>E33/1000*1025</f>
        <v>11.842945767856088</v>
      </c>
      <c r="G33" s="17">
        <f>24*($B34-$B33)*F33</f>
        <v>23.685891535712173</v>
      </c>
      <c r="H33"/>
      <c r="I33">
        <f t="shared" ref="I33:I45" si="5">(1/$B$24)*$B$28-(1/$B$24)*E3</f>
        <v>2.4830244378320003</v>
      </c>
      <c r="J33" s="17">
        <f>($D$18)-(I33)</f>
        <v>-7.3173912585285112</v>
      </c>
      <c r="K33"/>
      <c r="L33">
        <f>(X3/$B$25)*(K3-J3)</f>
        <v>0.12647544898304314</v>
      </c>
      <c r="M33">
        <f>(1/$B$24)*$B$27-(1/$B$24)*H3</f>
        <v>6.6124150960776831</v>
      </c>
      <c r="N33">
        <f>J33/2</f>
        <v>-3.6586956292642556</v>
      </c>
      <c r="O33">
        <f>N33/1000*1025</f>
        <v>-3.750163019995862</v>
      </c>
      <c r="P33" s="17">
        <f>24*($B34-$B33)*O33</f>
        <v>-7.5003260399917222</v>
      </c>
      <c r="Q33" s="17">
        <f>($C$18)-(N33+M33+L33)</f>
        <v>-14.852056405363124</v>
      </c>
      <c r="R33">
        <f>Q33/1000*1025</f>
        <v>-15.223357815497202</v>
      </c>
      <c r="S33" s="17">
        <f>24*($B34-$B33)*R33</f>
        <v>-30.446715630994397</v>
      </c>
      <c r="T33"/>
      <c r="U33">
        <f>F33/R33</f>
        <v>-0.77794570103319172</v>
      </c>
    </row>
    <row r="34" spans="1:21" s="35" customFormat="1" x14ac:dyDescent="0.2">
      <c r="A34" s="35" t="s">
        <v>178</v>
      </c>
      <c r="B34" s="37">
        <v>0.54166666666666663</v>
      </c>
      <c r="C34">
        <f>(V4/$B$25)*(R4-O4)</f>
        <v>-2.8770486675234763</v>
      </c>
      <c r="D34">
        <f t="shared" ref="D34:D45" si="6">(1/$B$24)*$B$29-(1/$B$24)*P4</f>
        <v>-5.8912011007787761</v>
      </c>
      <c r="E34" s="17">
        <f>($B$18)-(C34+D34)</f>
        <v>13.807697114077726</v>
      </c>
      <c r="F34">
        <f t="shared" ref="F34:F45" si="7">E34/1000*1025</f>
        <v>14.152889541929669</v>
      </c>
      <c r="G34" s="17">
        <f t="shared" ref="G34:G44" si="8">24*($B35-$B34)*F34</f>
        <v>28.305779083859353</v>
      </c>
      <c r="H34" s="38"/>
      <c r="I34">
        <f t="shared" si="5"/>
        <v>3.2482048299247026</v>
      </c>
      <c r="J34" s="17">
        <f>($D$18)-(I34)</f>
        <v>-8.0825716506212135</v>
      </c>
      <c r="K34" s="38"/>
      <c r="L34">
        <f>(X4/$B$25)*(K4-J4)</f>
        <v>0.13077183089150995</v>
      </c>
      <c r="M34">
        <f t="shared" ref="M34:M45" si="9">(1/$B$24)*$B$27-(1/$B$24)*H4</f>
        <v>10.101078317219901</v>
      </c>
      <c r="N34">
        <f t="shared" ref="N34:N45" si="10">J34/2</f>
        <v>-4.0412858253106068</v>
      </c>
      <c r="O34">
        <f t="shared" ref="O34:O45" si="11">N34/1000*1025</f>
        <v>-4.1423179709433722</v>
      </c>
      <c r="P34" s="17">
        <f t="shared" ref="P34:P44" si="12">24*($B35-$B34)*O34</f>
        <v>-8.2846359418867479</v>
      </c>
      <c r="Q34" s="17">
        <f t="shared" ref="Q34:Q35" si="13">($C$18)-(N34+M34+L34)</f>
        <v>-17.962425812367457</v>
      </c>
      <c r="R34">
        <f t="shared" ref="R34:R45" si="14">Q34/1000*1025</f>
        <v>-18.411486457676641</v>
      </c>
      <c r="S34" s="17">
        <f t="shared" ref="S34:S43" si="15">24*($B35-$B34)*R34</f>
        <v>-36.822972915353297</v>
      </c>
      <c r="T34" s="38"/>
      <c r="U34">
        <f t="shared" ref="U34:U45" si="16">F34/R34</f>
        <v>-0.76869890839414778</v>
      </c>
    </row>
    <row r="35" spans="1:21" s="35" customFormat="1" x14ac:dyDescent="0.2">
      <c r="A35" s="35" t="s">
        <v>179</v>
      </c>
      <c r="B35" s="37">
        <v>0.625</v>
      </c>
      <c r="C35">
        <f t="shared" ref="C35:C45" si="17">(V5/$B$25)*(R5-O5)</f>
        <v>-3.1133962987633148</v>
      </c>
      <c r="D35">
        <f t="shared" si="6"/>
        <v>-6.8662924861806616</v>
      </c>
      <c r="E35" s="17">
        <f>($B$18)-(C35+D35)</f>
        <v>15.019136130719449</v>
      </c>
      <c r="F35">
        <f t="shared" si="7"/>
        <v>15.394614533987436</v>
      </c>
      <c r="G35" s="17">
        <f t="shared" si="8"/>
        <v>30.789229067974887</v>
      </c>
      <c r="H35" s="38"/>
      <c r="I35">
        <f t="shared" si="5"/>
        <v>5.473972683280806</v>
      </c>
      <c r="J35" s="17">
        <f>($D$18)-(I35)</f>
        <v>-10.308339503977317</v>
      </c>
      <c r="K35" s="38"/>
      <c r="L35">
        <f t="shared" ref="L35:L45" si="18">(X5/$B$25)*(K5-J5)</f>
        <v>0.13033188969386064</v>
      </c>
      <c r="M35">
        <f t="shared" si="9"/>
        <v>12.987310038138219</v>
      </c>
      <c r="N35">
        <f t="shared" si="10"/>
        <v>-5.1541697519886585</v>
      </c>
      <c r="O35">
        <f t="shared" si="11"/>
        <v>-5.2830239957883744</v>
      </c>
      <c r="P35" s="17">
        <f t="shared" si="12"/>
        <v>-10.566047991576754</v>
      </c>
      <c r="Q35" s="17">
        <f t="shared" si="13"/>
        <v>-19.735333665410074</v>
      </c>
      <c r="R35">
        <f t="shared" si="14"/>
        <v>-20.228717007045326</v>
      </c>
      <c r="S35" s="17">
        <f t="shared" si="15"/>
        <v>-40.457434014090673</v>
      </c>
      <c r="T35" s="38"/>
      <c r="U35">
        <f t="shared" si="16"/>
        <v>-0.76102772749382708</v>
      </c>
    </row>
    <row r="36" spans="1:21" s="35" customFormat="1" x14ac:dyDescent="0.2">
      <c r="A36" s="35" t="s">
        <v>180</v>
      </c>
      <c r="B36" s="37">
        <v>0.70833333333333337</v>
      </c>
      <c r="C36">
        <f t="shared" si="17"/>
        <v>-3.607256992067835</v>
      </c>
      <c r="D36">
        <f t="shared" si="6"/>
        <v>-7.5644079074122494</v>
      </c>
      <c r="E36" s="17">
        <f>(AVERAGE(B18,B19))-(C36+D36)</f>
        <v>5.9196757473091104</v>
      </c>
      <c r="F36">
        <f t="shared" si="7"/>
        <v>6.0676676409918384</v>
      </c>
      <c r="G36" s="17">
        <f t="shared" si="8"/>
        <v>12.135335281983666</v>
      </c>
      <c r="H36" s="38"/>
      <c r="I36">
        <f t="shared" si="5"/>
        <v>5.4244289215296817</v>
      </c>
      <c r="J36" s="17">
        <f>(AVERAGE(D18,D19))-(I36)</f>
        <v>-5.5895025078592795</v>
      </c>
      <c r="K36" s="38"/>
      <c r="L36">
        <f t="shared" si="18"/>
        <v>0.16122386435011218</v>
      </c>
      <c r="M36">
        <f t="shared" si="9"/>
        <v>14.619375181155675</v>
      </c>
      <c r="N36">
        <f t="shared" si="10"/>
        <v>-2.7947512539296397</v>
      </c>
      <c r="O36">
        <f t="shared" si="11"/>
        <v>-2.8646200352778806</v>
      </c>
      <c r="P36" s="17">
        <f t="shared" si="12"/>
        <v>-5.7292400705557558</v>
      </c>
      <c r="Q36" s="17">
        <f>(AVERAGE(C18,C19))-(N36+M36+L36)</f>
        <v>-8.9074094403877275</v>
      </c>
      <c r="R36">
        <f t="shared" si="14"/>
        <v>-9.1300946763974213</v>
      </c>
      <c r="S36" s="17">
        <f t="shared" si="15"/>
        <v>-18.260189352794825</v>
      </c>
      <c r="T36" s="38"/>
      <c r="U36">
        <f t="shared" si="16"/>
        <v>-0.66457883034637222</v>
      </c>
    </row>
    <row r="37" spans="1:21" s="35" customFormat="1" x14ac:dyDescent="0.2">
      <c r="A37" s="35" t="s">
        <v>181</v>
      </c>
      <c r="B37" s="37">
        <v>0.79166666666666663</v>
      </c>
      <c r="C37">
        <f t="shared" si="17"/>
        <v>-1.8399075776135194</v>
      </c>
      <c r="D37">
        <f t="shared" si="6"/>
        <v>-3.2947158799264287</v>
      </c>
      <c r="E37" s="17">
        <f>($B$19)-(C37+D37)</f>
        <v>-10.408802192577474</v>
      </c>
      <c r="F37">
        <f t="shared" si="7"/>
        <v>-10.66902224739191</v>
      </c>
      <c r="G37" s="17">
        <f t="shared" si="8"/>
        <v>-21.33804449478383</v>
      </c>
      <c r="H37" s="38"/>
      <c r="I37">
        <f t="shared" si="5"/>
        <v>5.3471566261618477</v>
      </c>
      <c r="J37" s="17">
        <f>($D$19)-(I37)</f>
        <v>-0.84293697812453328</v>
      </c>
      <c r="K37" s="38"/>
      <c r="L37">
        <f t="shared" si="18"/>
        <v>0.15055643248622777</v>
      </c>
      <c r="M37">
        <f t="shared" si="9"/>
        <v>11.950329167482465</v>
      </c>
      <c r="N37">
        <f t="shared" si="10"/>
        <v>-0.42146848906226664</v>
      </c>
      <c r="O37">
        <f t="shared" si="11"/>
        <v>-0.4320052012888233</v>
      </c>
      <c r="P37" s="17">
        <f t="shared" si="12"/>
        <v>-0.86401040257764694</v>
      </c>
      <c r="Q37" s="17">
        <f>($C$19)-(N37+M37+L37)</f>
        <v>6.2493210810370687</v>
      </c>
      <c r="R37">
        <f t="shared" si="14"/>
        <v>6.4055541080629954</v>
      </c>
      <c r="S37" s="17">
        <f t="shared" si="15"/>
        <v>12.811108216125996</v>
      </c>
      <c r="T37" s="38"/>
      <c r="U37">
        <f t="shared" si="16"/>
        <v>-1.6655892788357327</v>
      </c>
    </row>
    <row r="38" spans="1:21" s="35" customFormat="1" x14ac:dyDescent="0.2">
      <c r="A38" s="35" t="s">
        <v>182</v>
      </c>
      <c r="B38" s="37">
        <v>0.875</v>
      </c>
      <c r="C38">
        <f t="shared" si="17"/>
        <v>-0.43171127204841686</v>
      </c>
      <c r="D38">
        <f t="shared" si="6"/>
        <v>-0.29898908647764699</v>
      </c>
      <c r="E38" s="17">
        <f>($B$19)-(C38+D38)</f>
        <v>-14.812725291591358</v>
      </c>
      <c r="F38">
        <f t="shared" si="7"/>
        <v>-15.183043423881141</v>
      </c>
      <c r="G38" s="17">
        <f t="shared" si="8"/>
        <v>-30.366086847762297</v>
      </c>
      <c r="H38" s="38"/>
      <c r="I38">
        <f t="shared" si="5"/>
        <v>3.3717205639558188</v>
      </c>
      <c r="J38" s="17">
        <f>($D$19)-(I38)</f>
        <v>1.1324990840814957</v>
      </c>
      <c r="K38" s="38"/>
      <c r="L38">
        <f t="shared" si="18"/>
        <v>0.14036892831116882</v>
      </c>
      <c r="M38">
        <f t="shared" si="9"/>
        <v>9.0454246059609034</v>
      </c>
      <c r="N38">
        <f t="shared" si="10"/>
        <v>0.56624954204074784</v>
      </c>
      <c r="O38">
        <f t="shared" si="11"/>
        <v>0.58040578059176651</v>
      </c>
      <c r="P38" s="17">
        <f t="shared" si="12"/>
        <v>1.1608115611835335</v>
      </c>
      <c r="Q38" s="17">
        <f>($C$19)-(N38+M38+L38)</f>
        <v>8.1766951156306753</v>
      </c>
      <c r="R38">
        <f t="shared" si="14"/>
        <v>8.3811124935214423</v>
      </c>
      <c r="S38" s="17">
        <f t="shared" si="15"/>
        <v>16.762224987042892</v>
      </c>
      <c r="T38" s="38"/>
      <c r="U38">
        <f t="shared" si="16"/>
        <v>-1.811578526790752</v>
      </c>
    </row>
    <row r="39" spans="1:21" s="35" customFormat="1" x14ac:dyDescent="0.2">
      <c r="A39" s="35" t="s">
        <v>183</v>
      </c>
      <c r="B39" s="37">
        <v>0.95833333333333337</v>
      </c>
      <c r="C39">
        <f t="shared" si="17"/>
        <v>1.1940722719527972</v>
      </c>
      <c r="D39">
        <f t="shared" si="6"/>
        <v>3.2796265139085889</v>
      </c>
      <c r="E39" s="17">
        <f>(AVERAGE(B19,B20))-(C39+D39)</f>
        <v>-12.859565942189388</v>
      </c>
      <c r="F39">
        <f t="shared" si="7"/>
        <v>-13.181055090744122</v>
      </c>
      <c r="G39" s="17">
        <f t="shared" si="8"/>
        <v>-26.362110181488255</v>
      </c>
      <c r="H39" s="38"/>
      <c r="I39">
        <f t="shared" si="5"/>
        <v>2.6511212104270498</v>
      </c>
      <c r="J39" s="17">
        <f>(AVERAGE(D19,D20))-(I39)</f>
        <v>-0.79681489687710894</v>
      </c>
      <c r="K39" s="38"/>
      <c r="L39">
        <f t="shared" si="18"/>
        <v>5.2040041591641904E-2</v>
      </c>
      <c r="M39">
        <f t="shared" si="9"/>
        <v>1.9276856982773438</v>
      </c>
      <c r="N39">
        <f t="shared" si="10"/>
        <v>-0.39840744843855447</v>
      </c>
      <c r="O39">
        <f t="shared" si="11"/>
        <v>-0.40836763464951831</v>
      </c>
      <c r="P39" s="17">
        <f t="shared" si="12"/>
        <v>-0.81673526929903695</v>
      </c>
      <c r="Q39" s="17">
        <f>(AVERAGE(C19,C20))-(N39+M39+L39)</f>
        <v>7.8148039081468958</v>
      </c>
      <c r="R39">
        <f t="shared" si="14"/>
        <v>8.010174005850569</v>
      </c>
      <c r="S39" s="17">
        <f t="shared" si="15"/>
        <v>16.020348011701145</v>
      </c>
      <c r="T39" s="38"/>
      <c r="U39">
        <f t="shared" si="16"/>
        <v>-1.6455391706992608</v>
      </c>
    </row>
    <row r="40" spans="1:21" s="35" customFormat="1" x14ac:dyDescent="0.2">
      <c r="A40" s="35" t="s">
        <v>184</v>
      </c>
      <c r="B40" s="37">
        <v>1.0416666666666667</v>
      </c>
      <c r="C40">
        <f t="shared" si="17"/>
        <v>1.0624574740984249</v>
      </c>
      <c r="D40">
        <f t="shared" si="6"/>
        <v>3.8248075663479675</v>
      </c>
      <c r="E40" s="17">
        <f>($B$20)-(C40+D40)</f>
        <v>-6.1155737029849746</v>
      </c>
      <c r="F40">
        <f t="shared" si="7"/>
        <v>-6.2684630455595993</v>
      </c>
      <c r="G40" s="17">
        <f t="shared" si="8"/>
        <v>-12.536926091119188</v>
      </c>
      <c r="H40" s="38"/>
      <c r="I40">
        <f t="shared" si="5"/>
        <v>1.7624402341229484</v>
      </c>
      <c r="J40" s="17">
        <f>($D$20)-(I40)</f>
        <v>-2.558047255060381</v>
      </c>
      <c r="K40" s="38"/>
      <c r="L40">
        <f t="shared" si="18"/>
        <v>1.5346037353173296E-3</v>
      </c>
      <c r="M40">
        <f t="shared" si="9"/>
        <v>-1.6775060553635797</v>
      </c>
      <c r="N40">
        <f t="shared" si="10"/>
        <v>-1.2790236275301905</v>
      </c>
      <c r="O40">
        <f t="shared" si="11"/>
        <v>-1.3109992182184453</v>
      </c>
      <c r="P40" s="17">
        <f t="shared" si="12"/>
        <v>-2.6219984364368885</v>
      </c>
      <c r="Q40" s="17">
        <f>($C$20)-(N40+M40+L40)</f>
        <v>3.8185012863696111</v>
      </c>
      <c r="R40">
        <f t="shared" si="14"/>
        <v>3.9139638185288512</v>
      </c>
      <c r="S40" s="17">
        <f t="shared" si="15"/>
        <v>7.8279276370576953</v>
      </c>
      <c r="T40" s="38"/>
      <c r="U40">
        <f t="shared" si="16"/>
        <v>-1.6015638713583555</v>
      </c>
    </row>
    <row r="41" spans="1:21" s="35" customFormat="1" x14ac:dyDescent="0.2">
      <c r="A41" s="35" t="s">
        <v>185</v>
      </c>
      <c r="B41" s="37">
        <v>1.125</v>
      </c>
      <c r="C41">
        <f t="shared" si="17"/>
        <v>0.94633982006675721</v>
      </c>
      <c r="D41">
        <f t="shared" si="6"/>
        <v>3.9858173720952017</v>
      </c>
      <c r="E41" s="17">
        <f>($B$20)-(C41+D41)</f>
        <v>-6.1604658547005418</v>
      </c>
      <c r="F41">
        <f t="shared" si="7"/>
        <v>-6.3144775010680556</v>
      </c>
      <c r="G41" s="17">
        <f t="shared" si="8"/>
        <v>-12.628955002136101</v>
      </c>
      <c r="H41" s="38"/>
      <c r="I41">
        <f t="shared" si="5"/>
        <v>2.7579643122948028</v>
      </c>
      <c r="J41" s="17">
        <f>($D$20)-(I41)</f>
        <v>-3.5535713332322354</v>
      </c>
      <c r="K41" s="38"/>
      <c r="L41">
        <f t="shared" si="18"/>
        <v>2.0411559844184274E-2</v>
      </c>
      <c r="M41">
        <f t="shared" si="9"/>
        <v>0.58737530625938916</v>
      </c>
      <c r="N41">
        <f t="shared" si="10"/>
        <v>-1.7767856666161177</v>
      </c>
      <c r="O41">
        <f t="shared" si="11"/>
        <v>-1.8212053082815207</v>
      </c>
      <c r="P41" s="17">
        <f t="shared" si="12"/>
        <v>-3.6424106165630383</v>
      </c>
      <c r="Q41" s="17">
        <f>($C$20)-(N41+M41+L41)</f>
        <v>2.0325050077237026</v>
      </c>
      <c r="R41">
        <f t="shared" si="14"/>
        <v>2.0833176329167955</v>
      </c>
      <c r="S41" s="17">
        <f t="shared" si="15"/>
        <v>4.1666352658335875</v>
      </c>
      <c r="T41" s="38"/>
      <c r="U41">
        <f t="shared" si="16"/>
        <v>-3.0309720425239863</v>
      </c>
    </row>
    <row r="42" spans="1:21" s="35" customFormat="1" x14ac:dyDescent="0.2">
      <c r="A42" s="35" t="s">
        <v>186</v>
      </c>
      <c r="B42" s="37">
        <v>1.2083333333333333</v>
      </c>
      <c r="C42">
        <f t="shared" si="17"/>
        <v>1.0073190232028326</v>
      </c>
      <c r="D42">
        <f t="shared" si="6"/>
        <v>4.1618107977365035</v>
      </c>
      <c r="E42" s="17">
        <f>(AVERAGE(B20,B21))-(C42+D42)</f>
        <v>1.6741867850770555</v>
      </c>
      <c r="F42">
        <f t="shared" si="7"/>
        <v>1.7160414547039819</v>
      </c>
      <c r="G42" s="17">
        <f t="shared" si="8"/>
        <v>3.4320829094079701</v>
      </c>
      <c r="H42" s="38"/>
      <c r="I42">
        <f t="shared" si="5"/>
        <v>2.925456628893528</v>
      </c>
      <c r="J42" s="17">
        <f>(AVERAGE(D20,D21))-(I42)</f>
        <v>-4.0602565694477999</v>
      </c>
      <c r="K42" s="38"/>
      <c r="L42">
        <f t="shared" si="18"/>
        <v>2.0667381451844831E-2</v>
      </c>
      <c r="M42">
        <f t="shared" si="9"/>
        <v>0.51481575319459694</v>
      </c>
      <c r="N42">
        <f t="shared" si="10"/>
        <v>-2.0301282847238999</v>
      </c>
      <c r="O42">
        <f t="shared" si="11"/>
        <v>-2.0808814918419971</v>
      </c>
      <c r="P42" s="17">
        <f t="shared" si="12"/>
        <v>-4.1617629836840013</v>
      </c>
      <c r="Q42" s="17">
        <f>(AVERAGE(C20,C21))-(N42+M42+L42)</f>
        <v>-3.7991270358582794</v>
      </c>
      <c r="R42">
        <f t="shared" si="14"/>
        <v>-3.8941052117547361</v>
      </c>
      <c r="S42" s="17">
        <f t="shared" si="15"/>
        <v>-7.7882104235094864</v>
      </c>
      <c r="T42" s="38"/>
      <c r="U42">
        <f t="shared" si="16"/>
        <v>-0.44067670527338182</v>
      </c>
    </row>
    <row r="43" spans="1:21" s="35" customFormat="1" x14ac:dyDescent="0.2">
      <c r="A43" s="35" t="s">
        <v>187</v>
      </c>
      <c r="B43" s="37">
        <v>1.2916666666666667</v>
      </c>
      <c r="C43">
        <f t="shared" si="17"/>
        <v>1.3799456789254703</v>
      </c>
      <c r="D43">
        <f t="shared" si="6"/>
        <v>4.6701596434672048</v>
      </c>
      <c r="E43" s="17">
        <f>($B$21)-(C43+D43)</f>
        <v>8.8648365521786907</v>
      </c>
      <c r="F43">
        <f t="shared" si="7"/>
        <v>9.086457465983159</v>
      </c>
      <c r="G43" s="17">
        <f t="shared" si="8"/>
        <v>18.1729149319663</v>
      </c>
      <c r="H43" s="38"/>
      <c r="I43">
        <f t="shared" si="5"/>
        <v>2.2964166912832411</v>
      </c>
      <c r="J43" s="17">
        <f>($D$21)-(I43)</f>
        <v>-3.7704095514543532</v>
      </c>
      <c r="K43" s="38"/>
      <c r="L43">
        <f t="shared" si="18"/>
        <v>9.3940830673413453E-3</v>
      </c>
      <c r="M43">
        <f t="shared" si="9"/>
        <v>-1.4448408176108387</v>
      </c>
      <c r="N43">
        <f t="shared" si="10"/>
        <v>-1.8852047757271766</v>
      </c>
      <c r="O43">
        <f t="shared" si="11"/>
        <v>-1.9323348951203561</v>
      </c>
      <c r="P43" s="17">
        <f t="shared" si="12"/>
        <v>-3.8646697902407086</v>
      </c>
      <c r="Q43" s="17">
        <f>($C$21)-(N43+M43+L43)</f>
        <v>-8.1303990688119594</v>
      </c>
      <c r="R43">
        <f t="shared" si="14"/>
        <v>-8.3336590455322579</v>
      </c>
      <c r="S43" s="17">
        <f t="shared" si="15"/>
        <v>-16.667318091064502</v>
      </c>
      <c r="T43" s="38"/>
      <c r="U43">
        <f t="shared" si="16"/>
        <v>-1.0903322797750505</v>
      </c>
    </row>
    <row r="44" spans="1:21" s="35" customFormat="1" x14ac:dyDescent="0.2">
      <c r="A44" s="35" t="s">
        <v>188</v>
      </c>
      <c r="B44" s="37">
        <v>1.375</v>
      </c>
      <c r="C44">
        <f t="shared" si="17"/>
        <v>0.46396440575983544</v>
      </c>
      <c r="D44">
        <f t="shared" si="6"/>
        <v>1.316653680870715</v>
      </c>
      <c r="E44" s="17">
        <f>($B$21)-(C44+D44)</f>
        <v>13.134323787940815</v>
      </c>
      <c r="F44">
        <f t="shared" si="7"/>
        <v>13.462681882639336</v>
      </c>
      <c r="G44" s="17">
        <f t="shared" si="8"/>
        <v>26.925363765278647</v>
      </c>
      <c r="H44" s="38"/>
      <c r="I44">
        <f t="shared" si="5"/>
        <v>1.6047359331700477</v>
      </c>
      <c r="J44" s="17">
        <f>($D$21)-(I44)</f>
        <v>-3.0787287933411598</v>
      </c>
      <c r="K44" s="38"/>
      <c r="L44">
        <f t="shared" si="18"/>
        <v>3.2562862306972702E-2</v>
      </c>
      <c r="M44">
        <f t="shared" si="9"/>
        <v>-0.85107098662595604</v>
      </c>
      <c r="N44">
        <f t="shared" si="10"/>
        <v>-1.5393643966705799</v>
      </c>
      <c r="O44">
        <f t="shared" si="11"/>
        <v>-1.5778485065873444</v>
      </c>
      <c r="P44" s="17">
        <f t="shared" si="12"/>
        <v>-3.1556970131746862</v>
      </c>
      <c r="Q44" s="17">
        <f>($C$21)-(N44+M44+L44)</f>
        <v>-9.0931780580930699</v>
      </c>
      <c r="R44">
        <f t="shared" si="14"/>
        <v>-9.3205075095453971</v>
      </c>
      <c r="S44" s="17">
        <f>24*($B45-$B44)*R44</f>
        <v>-18.641015019090776</v>
      </c>
      <c r="T44" s="38"/>
      <c r="U44">
        <f t="shared" si="16"/>
        <v>-1.4444151103200999</v>
      </c>
    </row>
    <row r="45" spans="1:21" s="35" customFormat="1" x14ac:dyDescent="0.2">
      <c r="A45" s="35" t="s">
        <v>189</v>
      </c>
      <c r="B45" s="37">
        <v>1.4583333333333333</v>
      </c>
      <c r="C45">
        <f t="shared" si="17"/>
        <v>-1.2415264375657158</v>
      </c>
      <c r="D45">
        <f t="shared" si="6"/>
        <v>-2.1480994991937123</v>
      </c>
      <c r="E45" s="17">
        <f>($B$21)-(C45+D45)</f>
        <v>18.304567811330791</v>
      </c>
      <c r="F45">
        <f t="shared" si="7"/>
        <v>18.762182006614061</v>
      </c>
      <c r="G45" s="17"/>
      <c r="H45" s="38"/>
      <c r="I45">
        <f t="shared" si="5"/>
        <v>2.9702419987900157</v>
      </c>
      <c r="J45" s="17">
        <f>($D$21)-(I45)</f>
        <v>-4.4442348589611278</v>
      </c>
      <c r="K45" s="38"/>
      <c r="L45">
        <f t="shared" si="18"/>
        <v>8.2325526140050342E-2</v>
      </c>
      <c r="M45">
        <f t="shared" si="9"/>
        <v>3.7899251613981733</v>
      </c>
      <c r="N45">
        <f t="shared" si="10"/>
        <v>-2.2221174294805639</v>
      </c>
      <c r="O45">
        <f t="shared" si="11"/>
        <v>-2.277670365217578</v>
      </c>
      <c r="P45" s="17"/>
      <c r="Q45" s="17">
        <f>($C$21)-(N45+M45+L45)</f>
        <v>-13.101183837140292</v>
      </c>
      <c r="R45">
        <f t="shared" si="14"/>
        <v>-13.428713433068799</v>
      </c>
      <c r="S45" s="38"/>
      <c r="T45" s="38"/>
      <c r="U45">
        <f t="shared" si="16"/>
        <v>-1.3971689916631449</v>
      </c>
    </row>
    <row r="47" spans="1:21" x14ac:dyDescent="0.2">
      <c r="A47" t="s">
        <v>99</v>
      </c>
      <c r="B47" t="s">
        <v>190</v>
      </c>
      <c r="C47" t="s">
        <v>332</v>
      </c>
    </row>
    <row r="48" spans="1:21" x14ac:dyDescent="0.2">
      <c r="A48" t="s">
        <v>151</v>
      </c>
      <c r="B48">
        <f>SLOPE(F33:F36,R33:R36)</f>
        <v>-0.84621387980563845</v>
      </c>
      <c r="C48">
        <f>SLOPE(F33:F44,R33:R44)</f>
        <v>-1.0769705180313445</v>
      </c>
    </row>
    <row r="49" spans="1:24" x14ac:dyDescent="0.2">
      <c r="A49" t="s">
        <v>152</v>
      </c>
      <c r="B49">
        <f>SLOPE(F36:F39,R36:R39)</f>
        <v>-1.1501145474208685</v>
      </c>
    </row>
    <row r="50" spans="1:24" x14ac:dyDescent="0.2">
      <c r="A50" t="s">
        <v>153</v>
      </c>
      <c r="B50">
        <f>SLOPE(F39:F42,R39:R42)</f>
        <v>-1.2143521125072529</v>
      </c>
    </row>
    <row r="51" spans="1:24" x14ac:dyDescent="0.2">
      <c r="A51" t="s">
        <v>154</v>
      </c>
      <c r="B51">
        <f>SLOPE(F43:F44,R43:R44)</f>
        <v>-4.4345455014032531</v>
      </c>
    </row>
    <row r="53" spans="1:24" x14ac:dyDescent="0.2">
      <c r="A53" s="10" t="s">
        <v>84</v>
      </c>
    </row>
    <row r="54" spans="1:24" x14ac:dyDescent="0.2">
      <c r="A54" s="2" t="s">
        <v>71</v>
      </c>
      <c r="B54" s="2" t="s">
        <v>72</v>
      </c>
      <c r="C54" s="2" t="s">
        <v>21</v>
      </c>
      <c r="D54" s="2" t="s">
        <v>81</v>
      </c>
      <c r="E54" s="2" t="s">
        <v>73</v>
      </c>
      <c r="F54" s="2"/>
      <c r="G54" s="2" t="s">
        <v>82</v>
      </c>
      <c r="H54" s="2" t="s">
        <v>74</v>
      </c>
      <c r="I54" s="2" t="s">
        <v>75</v>
      </c>
      <c r="J54" s="2" t="s">
        <v>76</v>
      </c>
      <c r="K54" s="2" t="s">
        <v>77</v>
      </c>
      <c r="L54" s="2"/>
      <c r="M54" s="2" t="s">
        <v>78</v>
      </c>
      <c r="N54" s="2"/>
      <c r="O54" s="2" t="s">
        <v>83</v>
      </c>
      <c r="P54" s="2" t="s">
        <v>300</v>
      </c>
      <c r="Q54" s="2" t="s">
        <v>79</v>
      </c>
      <c r="R54" s="2" t="s">
        <v>80</v>
      </c>
      <c r="T54" t="s">
        <v>68</v>
      </c>
      <c r="U54" s="2" t="s">
        <v>310</v>
      </c>
      <c r="V54" s="2" t="s">
        <v>312</v>
      </c>
      <c r="W54" s="2" t="s">
        <v>311</v>
      </c>
      <c r="X54" s="2" t="s">
        <v>313</v>
      </c>
    </row>
    <row r="55" spans="1:24" x14ac:dyDescent="0.2">
      <c r="A55" s="20">
        <v>42323.25</v>
      </c>
      <c r="B55" s="18">
        <v>27.401399999999999</v>
      </c>
      <c r="C55" s="2">
        <v>35.840000000000003</v>
      </c>
      <c r="D55" s="2">
        <v>2355.92</v>
      </c>
      <c r="E55" s="18">
        <f>(D55/C55)*35.4</f>
        <v>2326.9968749999998</v>
      </c>
      <c r="F55" s="2"/>
      <c r="G55" s="18">
        <v>2113.0300000000002</v>
      </c>
      <c r="H55" s="18">
        <f>(G55/C55)*35.4</f>
        <v>2087.0887834821428</v>
      </c>
      <c r="I55" s="12">
        <v>2002.24853515625</v>
      </c>
      <c r="J55" s="30">
        <v>16.476420999999998</v>
      </c>
      <c r="K55" s="31">
        <v>10.624513586422182</v>
      </c>
      <c r="L55" s="2"/>
      <c r="M55" s="15">
        <v>7.890230655670166</v>
      </c>
      <c r="N55" s="2"/>
      <c r="O55" s="18">
        <v>209.0625</v>
      </c>
      <c r="P55" s="18">
        <f t="shared" ref="P55:P67" si="19">(O55/C55)*35.4</f>
        <v>206.49588448660711</v>
      </c>
      <c r="Q55" s="18">
        <v>197.328305</v>
      </c>
      <c r="R55" s="18">
        <v>192.5154197</v>
      </c>
      <c r="S55" s="17"/>
      <c r="T55" s="17">
        <v>3.0555580000000004</v>
      </c>
      <c r="U55" s="17">
        <f>'All Experimental Diel Data'!U19</f>
        <v>396.32773730271037</v>
      </c>
      <c r="V55">
        <f>(0.251*(T55)^2*(U55/660)^(-0.5))/100</f>
        <v>3.0241234718532413E-2</v>
      </c>
      <c r="W55" s="17">
        <f>'All Experimental Diel Data'!W19</f>
        <v>465.59174605269402</v>
      </c>
      <c r="X55">
        <f>(0.251*(T55)^2*(W55/660)^(-0.5))/100</f>
        <v>2.7901279304134583E-2</v>
      </c>
    </row>
    <row r="56" spans="1:24" x14ac:dyDescent="0.2">
      <c r="A56" s="20">
        <f>42323+(8/24)</f>
        <v>42323.333333333336</v>
      </c>
      <c r="B56" s="18">
        <v>27.7819</v>
      </c>
      <c r="C56" s="2">
        <v>35.770000000000003</v>
      </c>
      <c r="D56" s="2">
        <v>2350.6999999999998</v>
      </c>
      <c r="E56" s="18">
        <f t="shared" ref="E56:E67" si="20">(D56/C56)*35.4</f>
        <v>2326.3846798993563</v>
      </c>
      <c r="F56" s="2"/>
      <c r="G56" s="18">
        <v>2058.19</v>
      </c>
      <c r="H56" s="18">
        <f t="shared" ref="H56:H67" si="21">(G56/C56)*35.4</f>
        <v>2036.9003634330443</v>
      </c>
      <c r="I56" s="12">
        <v>1999.3712158203125</v>
      </c>
      <c r="J56" s="30">
        <v>12.904030000000001</v>
      </c>
      <c r="K56" s="31">
        <v>10.531851687986885</v>
      </c>
      <c r="L56" s="2"/>
      <c r="M56" s="15">
        <v>7.9744410514831543</v>
      </c>
      <c r="N56" s="2"/>
      <c r="O56" s="18">
        <v>200.9375</v>
      </c>
      <c r="P56" s="18">
        <f t="shared" si="19"/>
        <v>198.85902991333518</v>
      </c>
      <c r="Q56" s="18">
        <v>196.21128200000001</v>
      </c>
      <c r="R56" s="18">
        <v>191.42564060000001</v>
      </c>
      <c r="S56" s="17"/>
      <c r="T56" s="17">
        <v>2.9166690000000002</v>
      </c>
      <c r="U56" s="17">
        <f>'All Experimental Diel Data'!U20</f>
        <v>389.08989255288748</v>
      </c>
      <c r="V56">
        <f t="shared" ref="V56:V67" si="22">(0.251*(T56)^2*(U56/660)^(-0.5))/100</f>
        <v>2.7809616898254574E-2</v>
      </c>
      <c r="W56" s="17">
        <f>'All Experimental Diel Data'!W20</f>
        <v>457.11346622901192</v>
      </c>
      <c r="X56">
        <f t="shared" ref="X56:X67" si="23">(0.251*(T56)^2*(W56/660)^(-0.5))/100</f>
        <v>2.5657123992030562E-2</v>
      </c>
    </row>
    <row r="57" spans="1:24" x14ac:dyDescent="0.2">
      <c r="A57" s="20">
        <f>42323+(10/24)</f>
        <v>42323.416666666664</v>
      </c>
      <c r="B57" s="18">
        <v>28.5549</v>
      </c>
      <c r="C57" s="2">
        <v>35.76</v>
      </c>
      <c r="D57" s="2">
        <v>2325.8000000000002</v>
      </c>
      <c r="E57" s="18">
        <f t="shared" si="20"/>
        <v>2302.3859060402688</v>
      </c>
      <c r="F57" s="2"/>
      <c r="G57" s="18">
        <v>2000.62</v>
      </c>
      <c r="H57" s="18">
        <f t="shared" si="21"/>
        <v>1980.4795302013422</v>
      </c>
      <c r="I57" s="12">
        <v>1992.7376708984375</v>
      </c>
      <c r="J57" s="30">
        <v>10.964109000000001</v>
      </c>
      <c r="K57" s="31">
        <v>10.341239425259216</v>
      </c>
      <c r="L57" s="2"/>
      <c r="M57" s="15">
        <v>8.0208406448364258</v>
      </c>
      <c r="N57" s="2"/>
      <c r="O57" s="18">
        <v>240</v>
      </c>
      <c r="P57" s="18">
        <f t="shared" si="19"/>
        <v>237.58389261744966</v>
      </c>
      <c r="Q57" s="18">
        <v>193.81992600000001</v>
      </c>
      <c r="R57" s="18">
        <v>189.09261029999999</v>
      </c>
      <c r="S57" s="17"/>
      <c r="T57" s="17">
        <v>2.7777800000000004</v>
      </c>
      <c r="U57" s="17">
        <f>'All Experimental Diel Data'!U21</f>
        <v>374.77460452352727</v>
      </c>
      <c r="V57">
        <f t="shared" si="22"/>
        <v>2.5701371863696192E-2</v>
      </c>
      <c r="W57" s="17">
        <f>'All Experimental Diel Data'!W21</f>
        <v>440.36896020039376</v>
      </c>
      <c r="X57">
        <f t="shared" si="23"/>
        <v>2.3710080730799915E-2</v>
      </c>
    </row>
    <row r="58" spans="1:24" x14ac:dyDescent="0.2">
      <c r="A58" s="20">
        <f>42323+0.5</f>
        <v>42323.5</v>
      </c>
      <c r="B58" s="18">
        <v>29.3154</v>
      </c>
      <c r="C58" s="2">
        <v>35.75</v>
      </c>
      <c r="D58" s="2">
        <v>2320.98</v>
      </c>
      <c r="E58" s="18">
        <f t="shared" si="20"/>
        <v>2298.2571188811185</v>
      </c>
      <c r="F58" s="2"/>
      <c r="G58" s="18">
        <v>1971.94</v>
      </c>
      <c r="H58" s="18">
        <f t="shared" si="21"/>
        <v>1952.6342937062936</v>
      </c>
      <c r="I58" s="12">
        <v>1986.179931640625</v>
      </c>
      <c r="J58" s="30">
        <v>9.9123859999999997</v>
      </c>
      <c r="K58" s="31">
        <v>10.159784215188049</v>
      </c>
      <c r="L58" s="2"/>
      <c r="M58" s="15">
        <v>8.0480632781982422</v>
      </c>
      <c r="N58" s="2"/>
      <c r="O58" s="18">
        <v>256.875</v>
      </c>
      <c r="P58" s="18">
        <f t="shared" si="19"/>
        <v>254.36013986013984</v>
      </c>
      <c r="Q58" s="18">
        <v>191.52227500000001</v>
      </c>
      <c r="R58" s="18">
        <v>186.8510005</v>
      </c>
      <c r="S58" s="17"/>
      <c r="T58" s="17">
        <v>2.7777800000000004</v>
      </c>
      <c r="U58" s="17">
        <f>'All Experimental Diel Data'!U22</f>
        <v>361.19160952893196</v>
      </c>
      <c r="V58">
        <f t="shared" si="22"/>
        <v>2.6180175650463898E-2</v>
      </c>
      <c r="W58" s="17">
        <f>'All Experimental Diel Data'!W22</f>
        <v>424.50690687296412</v>
      </c>
      <c r="X58">
        <f t="shared" si="23"/>
        <v>2.4148991698302851E-2</v>
      </c>
    </row>
    <row r="59" spans="1:24" x14ac:dyDescent="0.2">
      <c r="A59" s="20">
        <f>42323+(16/24)</f>
        <v>42323.666666666664</v>
      </c>
      <c r="B59" s="18">
        <v>29.503299999999999</v>
      </c>
      <c r="C59" s="2">
        <v>35.76</v>
      </c>
      <c r="D59" s="2">
        <v>2309.88</v>
      </c>
      <c r="E59" s="18">
        <f t="shared" si="20"/>
        <v>2286.6261744966446</v>
      </c>
      <c r="F59" s="2"/>
      <c r="G59" s="18">
        <v>1950.36</v>
      </c>
      <c r="H59" s="18">
        <f t="shared" si="21"/>
        <v>1930.7255033557046</v>
      </c>
      <c r="I59" s="12">
        <v>1984.48095703125</v>
      </c>
      <c r="J59" s="30">
        <v>9.3915009999999999</v>
      </c>
      <c r="K59" s="31">
        <v>10.115222163451257</v>
      </c>
      <c r="L59" s="2"/>
      <c r="M59" s="15">
        <v>8.0630588531494141</v>
      </c>
      <c r="N59" s="2"/>
      <c r="O59" s="18">
        <v>263.75</v>
      </c>
      <c r="P59" s="18">
        <f t="shared" si="19"/>
        <v>261.09479865771812</v>
      </c>
      <c r="Q59" s="18">
        <v>190.94785999999999</v>
      </c>
      <c r="R59" s="18">
        <v>186.290595</v>
      </c>
      <c r="S59" s="17"/>
      <c r="T59" s="17">
        <v>2.7777800000000004</v>
      </c>
      <c r="U59" s="17">
        <f>'All Experimental Diel Data'!U23</f>
        <v>357.91169345596961</v>
      </c>
      <c r="V59">
        <f t="shared" si="22"/>
        <v>2.6299860129313547E-2</v>
      </c>
      <c r="W59" s="17">
        <f>'All Experimental Diel Data'!W23</f>
        <v>420.67964074424049</v>
      </c>
      <c r="X59">
        <f t="shared" si="23"/>
        <v>2.4258594522323415E-2</v>
      </c>
    </row>
    <row r="60" spans="1:24" x14ac:dyDescent="0.2">
      <c r="A60" s="20">
        <f>42323+(18/24)</f>
        <v>42323.75</v>
      </c>
      <c r="B60" s="18">
        <v>28.4176</v>
      </c>
      <c r="C60" s="2">
        <v>35.76</v>
      </c>
      <c r="D60" s="2">
        <v>2324.81</v>
      </c>
      <c r="E60" s="18">
        <f t="shared" si="20"/>
        <v>2301.4058724832212</v>
      </c>
      <c r="F60" s="2"/>
      <c r="G60" s="18">
        <v>1991.08</v>
      </c>
      <c r="H60" s="18">
        <f t="shared" si="21"/>
        <v>1971.0355704697986</v>
      </c>
      <c r="I60" s="12">
        <v>1993.9285888671875</v>
      </c>
      <c r="J60" s="30">
        <v>10.511736000000001</v>
      </c>
      <c r="K60" s="31">
        <v>10.374727786776434</v>
      </c>
      <c r="L60" s="2"/>
      <c r="M60" s="15">
        <v>8.0366096496582031</v>
      </c>
      <c r="N60" s="2"/>
      <c r="O60" s="18">
        <v>228.75</v>
      </c>
      <c r="P60" s="18">
        <f t="shared" si="19"/>
        <v>226.4471476510067</v>
      </c>
      <c r="Q60" s="18">
        <v>194.24268599999999</v>
      </c>
      <c r="R60" s="18">
        <v>189.50505939999999</v>
      </c>
      <c r="S60" s="17"/>
      <c r="T60" s="17">
        <v>3.0555580000000004</v>
      </c>
      <c r="U60" s="17">
        <f>'All Experimental Diel Data'!U24</f>
        <v>377.27961032556925</v>
      </c>
      <c r="V60">
        <f t="shared" si="22"/>
        <v>3.0995245850953809E-2</v>
      </c>
      <c r="W60" s="17">
        <f>'All Experimental Diel Data'!W24</f>
        <v>443.2968547330392</v>
      </c>
      <c r="X60">
        <f t="shared" si="23"/>
        <v>2.8594297276673234E-2</v>
      </c>
    </row>
    <row r="61" spans="1:24" x14ac:dyDescent="0.2">
      <c r="A61" s="20">
        <f>42323+(22/24)</f>
        <v>42323.916666666664</v>
      </c>
      <c r="B61" s="18">
        <v>27.393699999999999</v>
      </c>
      <c r="C61" s="2">
        <v>35.75</v>
      </c>
      <c r="D61" s="2">
        <v>2353.17</v>
      </c>
      <c r="E61" s="18">
        <f t="shared" si="20"/>
        <v>2330.1319720279721</v>
      </c>
      <c r="F61" s="2"/>
      <c r="G61" s="18">
        <v>2090.2600000000002</v>
      </c>
      <c r="H61" s="18">
        <f t="shared" si="21"/>
        <v>2069.7959160839164</v>
      </c>
      <c r="I61" s="12">
        <v>2002.8345947265625</v>
      </c>
      <c r="J61" s="30">
        <v>14.836183</v>
      </c>
      <c r="K61" s="31">
        <v>10.631353461475461</v>
      </c>
      <c r="L61" s="2"/>
      <c r="M61" s="15">
        <v>7.928433895111084</v>
      </c>
      <c r="N61" s="2"/>
      <c r="O61" s="18">
        <v>170.625</v>
      </c>
      <c r="P61" s="18">
        <f t="shared" si="19"/>
        <v>168.95454545454544</v>
      </c>
      <c r="Q61" s="18">
        <v>197.46536699999999</v>
      </c>
      <c r="R61" s="18">
        <v>192.6491389</v>
      </c>
      <c r="S61" s="17"/>
      <c r="T61" s="17">
        <v>3.6111140000000002</v>
      </c>
      <c r="U61" s="17">
        <f>'All Experimental Diel Data'!U25</f>
        <v>396.47552709617696</v>
      </c>
      <c r="V61">
        <f t="shared" si="22"/>
        <v>4.2229884597660361E-2</v>
      </c>
      <c r="W61" s="17">
        <f>'All Experimental Diel Data'!W25</f>
        <v>465.76495323574034</v>
      </c>
      <c r="X61">
        <f t="shared" si="23"/>
        <v>3.8962308781060336E-2</v>
      </c>
    </row>
    <row r="62" spans="1:24" x14ac:dyDescent="0.2">
      <c r="A62" s="20">
        <f>42324</f>
        <v>42324</v>
      </c>
      <c r="B62" s="18">
        <v>27.312100000000001</v>
      </c>
      <c r="C62" s="2">
        <v>35.75</v>
      </c>
      <c r="D62" s="2">
        <v>2355.86</v>
      </c>
      <c r="E62" s="18">
        <f t="shared" si="20"/>
        <v>2332.7956363636367</v>
      </c>
      <c r="F62" s="2"/>
      <c r="G62" s="18">
        <v>2095.7600000000002</v>
      </c>
      <c r="H62" s="18">
        <f t="shared" si="21"/>
        <v>2075.2420699300701</v>
      </c>
      <c r="I62" s="12">
        <v>2003.5369873046875</v>
      </c>
      <c r="J62" s="30">
        <v>15.059975</v>
      </c>
      <c r="K62" s="31">
        <v>10.652255214851307</v>
      </c>
      <c r="L62" s="2"/>
      <c r="M62" s="15">
        <v>7.924189567565918</v>
      </c>
      <c r="N62" s="2"/>
      <c r="O62" s="18">
        <v>174.375</v>
      </c>
      <c r="P62" s="18">
        <f t="shared" si="19"/>
        <v>172.66783216783216</v>
      </c>
      <c r="Q62" s="18">
        <v>197.725674</v>
      </c>
      <c r="R62" s="18">
        <v>192.90309669999999</v>
      </c>
      <c r="S62" s="17"/>
      <c r="T62" s="17">
        <v>3.6111140000000002</v>
      </c>
      <c r="U62" s="17">
        <f>'All Experimental Diel Data'!U26</f>
        <v>398.04495689555142</v>
      </c>
      <c r="V62">
        <f t="shared" si="22"/>
        <v>4.214654941515248E-2</v>
      </c>
      <c r="W62" s="17">
        <f>'All Experimental Diel Data'!W26</f>
        <v>467.60452000766537</v>
      </c>
      <c r="X62">
        <f t="shared" si="23"/>
        <v>3.8885593954665232E-2</v>
      </c>
    </row>
    <row r="63" spans="1:24" x14ac:dyDescent="0.2">
      <c r="A63" s="20">
        <f>42324+(2/24)</f>
        <v>42324.083333333336</v>
      </c>
      <c r="B63" s="18">
        <v>27.257000000000001</v>
      </c>
      <c r="C63" s="2">
        <v>35.75</v>
      </c>
      <c r="D63" s="2">
        <v>2360.02</v>
      </c>
      <c r="E63" s="18">
        <f t="shared" si="20"/>
        <v>2336.9149090909091</v>
      </c>
      <c r="F63" s="2"/>
      <c r="G63" s="18">
        <v>2104.75</v>
      </c>
      <c r="H63" s="18">
        <f t="shared" si="21"/>
        <v>2084.1440559440557</v>
      </c>
      <c r="I63" s="12">
        <v>2004.0111083984375</v>
      </c>
      <c r="J63" s="30">
        <v>15.467644</v>
      </c>
      <c r="K63" s="31">
        <v>10.666410705276967</v>
      </c>
      <c r="L63" s="2"/>
      <c r="M63" s="15">
        <v>7.9156641960144043</v>
      </c>
      <c r="N63" s="2"/>
      <c r="O63" s="18">
        <v>172.5</v>
      </c>
      <c r="P63" s="18">
        <f t="shared" si="19"/>
        <v>170.8111888111888</v>
      </c>
      <c r="Q63" s="18">
        <v>197.90182300000001</v>
      </c>
      <c r="R63" s="18">
        <v>193.0749495</v>
      </c>
      <c r="S63" s="17"/>
      <c r="T63" s="17">
        <v>3.7500030000000004</v>
      </c>
      <c r="U63" s="17">
        <f>'All Experimental Diel Data'!U27</f>
        <v>399.10806509813324</v>
      </c>
      <c r="V63">
        <f t="shared" si="22"/>
        <v>4.5390364216149746E-2</v>
      </c>
      <c r="W63" s="17">
        <f>'All Experimental Diel Data'!W27</f>
        <v>468.85084484254151</v>
      </c>
      <c r="X63">
        <f t="shared" si="23"/>
        <v>4.1878543426802375E-2</v>
      </c>
    </row>
    <row r="64" spans="1:24" x14ac:dyDescent="0.2">
      <c r="A64" s="20">
        <f>42324+(4/24)</f>
        <v>42324.166666666664</v>
      </c>
      <c r="B64" s="18">
        <v>27.1892</v>
      </c>
      <c r="C64" s="2">
        <v>35.75</v>
      </c>
      <c r="D64" s="2">
        <v>2359.56</v>
      </c>
      <c r="E64" s="18">
        <f t="shared" si="20"/>
        <v>2336.4594125874128</v>
      </c>
      <c r="F64" s="2"/>
      <c r="G64" s="18">
        <v>2116.14</v>
      </c>
      <c r="H64" s="18">
        <f t="shared" si="21"/>
        <v>2095.4225454545453</v>
      </c>
      <c r="I64" s="12">
        <v>2004.5943603515625</v>
      </c>
      <c r="J64" s="30">
        <v>16.399994</v>
      </c>
      <c r="K64" s="31">
        <v>10.683875646559432</v>
      </c>
      <c r="L64" s="2"/>
      <c r="M64" s="15">
        <v>7.894866943359375</v>
      </c>
      <c r="N64" s="2"/>
      <c r="O64" s="18">
        <v>161.875</v>
      </c>
      <c r="P64" s="18">
        <f t="shared" si="19"/>
        <v>160.29020979020979</v>
      </c>
      <c r="Q64" s="18">
        <v>198.11899299999999</v>
      </c>
      <c r="R64" s="18">
        <v>193.28682230000001</v>
      </c>
      <c r="S64" s="17"/>
      <c r="T64" s="17">
        <v>3.8888920000000002</v>
      </c>
      <c r="U64" s="17">
        <f>'All Experimental Diel Data'!U28</f>
        <v>400.41993644915442</v>
      </c>
      <c r="V64">
        <f t="shared" si="22"/>
        <v>4.8734847089497213E-2</v>
      </c>
      <c r="W64" s="17">
        <f>'All Experimental Diel Data'!W28</f>
        <v>470.38906103865526</v>
      </c>
      <c r="X64">
        <f t="shared" si="23"/>
        <v>4.4964404610395185E-2</v>
      </c>
    </row>
    <row r="65" spans="1:24" x14ac:dyDescent="0.2">
      <c r="A65" s="20">
        <f>42324+(6/24)</f>
        <v>42324.25</v>
      </c>
      <c r="B65" s="18">
        <v>27.251799999999999</v>
      </c>
      <c r="C65" s="2">
        <v>35.74</v>
      </c>
      <c r="D65" s="2">
        <v>2357.86</v>
      </c>
      <c r="E65" s="18">
        <f t="shared" si="20"/>
        <v>2335.4293228875208</v>
      </c>
      <c r="F65" s="2"/>
      <c r="G65" s="18">
        <v>2092.7600000000002</v>
      </c>
      <c r="H65" s="18">
        <f t="shared" si="21"/>
        <v>2072.8512590934529</v>
      </c>
      <c r="I65" s="12">
        <v>2004.113525390625</v>
      </c>
      <c r="J65" s="30">
        <v>14.699607</v>
      </c>
      <c r="K65" s="31">
        <v>10.668292223098069</v>
      </c>
      <c r="L65" s="2"/>
      <c r="M65" s="15">
        <v>7.933873176574707</v>
      </c>
      <c r="N65" s="2"/>
      <c r="O65" s="18">
        <v>178.4375</v>
      </c>
      <c r="P65" s="18">
        <f t="shared" si="19"/>
        <v>176.73999720201454</v>
      </c>
      <c r="Q65" s="18">
        <v>197.93101300000001</v>
      </c>
      <c r="R65" s="18">
        <v>193.10342739999999</v>
      </c>
      <c r="S65" s="17"/>
      <c r="T65" s="17">
        <v>3.8888920000000002</v>
      </c>
      <c r="U65" s="17">
        <f>'All Experimental Diel Data'!U29</f>
        <v>399.20853484870781</v>
      </c>
      <c r="V65">
        <f t="shared" si="22"/>
        <v>4.880873422743795E-2</v>
      </c>
      <c r="W65" s="17">
        <f>'All Experimental Diel Data'!W29</f>
        <v>468.96863921541797</v>
      </c>
      <c r="X65">
        <f t="shared" si="23"/>
        <v>4.5032447681771004E-2</v>
      </c>
    </row>
    <row r="66" spans="1:24" x14ac:dyDescent="0.2">
      <c r="A66" s="20">
        <f>42324+(8/24)</f>
        <v>42324.333333333336</v>
      </c>
      <c r="B66" s="18">
        <v>27.548500000000001</v>
      </c>
      <c r="C66" s="2">
        <v>35.74</v>
      </c>
      <c r="D66" s="2">
        <v>2343.12</v>
      </c>
      <c r="E66" s="18">
        <f t="shared" si="20"/>
        <v>2320.8295467263565</v>
      </c>
      <c r="F66" s="2"/>
      <c r="G66" s="18">
        <v>2064.7600000000002</v>
      </c>
      <c r="H66" s="18">
        <f t="shared" si="21"/>
        <v>2045.1176273083379</v>
      </c>
      <c r="I66" s="12">
        <v>2001.5587158203125</v>
      </c>
      <c r="J66" s="30">
        <v>13.666397</v>
      </c>
      <c r="K66" s="31">
        <v>10.592442597319279</v>
      </c>
      <c r="L66" s="2"/>
      <c r="M66" s="15">
        <v>7.9550347328186035</v>
      </c>
      <c r="N66" s="2"/>
      <c r="O66" s="18">
        <v>197.5</v>
      </c>
      <c r="P66" s="18">
        <f t="shared" si="19"/>
        <v>195.62115277000558</v>
      </c>
      <c r="Q66" s="18">
        <v>196.98584600000001</v>
      </c>
      <c r="R66" s="18">
        <v>192.18131289999999</v>
      </c>
      <c r="S66" s="17"/>
      <c r="T66" s="17">
        <v>3.8888920000000002</v>
      </c>
      <c r="U66" s="17">
        <f>'All Experimental Diel Data'!U30</f>
        <v>393.51447171866141</v>
      </c>
      <c r="V66">
        <f t="shared" si="22"/>
        <v>4.9160591507023101E-2</v>
      </c>
      <c r="W66" s="17">
        <f>'All Experimental Diel Data'!W30</f>
        <v>462.29532698256139</v>
      </c>
      <c r="X66">
        <f t="shared" si="23"/>
        <v>4.5356308670167031E-2</v>
      </c>
    </row>
    <row r="67" spans="1:24" x14ac:dyDescent="0.2">
      <c r="A67" s="20">
        <f>42324+(10/24)</f>
        <v>42324.416666666664</v>
      </c>
      <c r="B67" s="18">
        <v>28.464200000000002</v>
      </c>
      <c r="C67" s="2">
        <v>35.74</v>
      </c>
      <c r="D67" s="2">
        <v>2322.6</v>
      </c>
      <c r="E67" s="18">
        <f t="shared" si="20"/>
        <v>2300.5047565752657</v>
      </c>
      <c r="F67" s="2"/>
      <c r="G67" s="18">
        <v>1998.67</v>
      </c>
      <c r="H67" s="18">
        <f t="shared" si="21"/>
        <v>1979.6563514269726</v>
      </c>
      <c r="I67" s="12">
        <v>1993.6414794921875</v>
      </c>
      <c r="J67" s="30">
        <v>10.975228</v>
      </c>
      <c r="K67" s="31">
        <v>10.364385115915622</v>
      </c>
      <c r="L67" s="2"/>
      <c r="M67" s="15">
        <v>8.0209197998046875</v>
      </c>
      <c r="N67" s="2"/>
      <c r="O67" s="18">
        <v>237.5</v>
      </c>
      <c r="P67" s="18">
        <f t="shared" si="19"/>
        <v>235.24062674874088</v>
      </c>
      <c r="Q67" s="18">
        <v>194.12342200000001</v>
      </c>
      <c r="R67" s="18">
        <v>189.38870399999999</v>
      </c>
      <c r="S67" s="17"/>
      <c r="T67" s="17">
        <v>3.8888920000000002</v>
      </c>
      <c r="U67" s="17">
        <f>'All Experimental Diel Data'!U31</f>
        <v>376.42758950941243</v>
      </c>
      <c r="V67">
        <f t="shared" si="22"/>
        <v>5.0263963415743164E-2</v>
      </c>
      <c r="W67" s="17">
        <f>'All Experimental Diel Data'!W31</f>
        <v>442.30089865357445</v>
      </c>
      <c r="X67">
        <f t="shared" si="23"/>
        <v>4.6370154515914315E-2</v>
      </c>
    </row>
    <row r="69" spans="1:24" x14ac:dyDescent="0.2">
      <c r="A69" t="s">
        <v>99</v>
      </c>
      <c r="B69" t="s">
        <v>148</v>
      </c>
      <c r="C69" t="s">
        <v>149</v>
      </c>
      <c r="D69" t="s">
        <v>150</v>
      </c>
    </row>
    <row r="70" spans="1:24" x14ac:dyDescent="0.2">
      <c r="A70" t="s">
        <v>191</v>
      </c>
      <c r="B70">
        <f>SLOPE(P56:P58,A56:A58)*(1/24)</f>
        <v>13.875277486823226</v>
      </c>
      <c r="C70">
        <f>SLOPE(H56:H58,A56:A58)*(1/24)</f>
        <v>-21.066517431890258</v>
      </c>
      <c r="D70">
        <f>SLOPE(E56:E58,A56:A58)*(1/24)</f>
        <v>-7.0318902545895101</v>
      </c>
    </row>
    <row r="71" spans="1:24" x14ac:dyDescent="0.2">
      <c r="A71" t="s">
        <v>192</v>
      </c>
      <c r="B71">
        <f>SLOPE(P59:P61,A59:A61)*(1/24)</f>
        <v>-15.21620053608066</v>
      </c>
      <c r="C71">
        <f>SLOPE(H59:H61,A59:A61)*(1/24)</f>
        <v>23.394357018856685</v>
      </c>
      <c r="D71">
        <f>SLOPE(E59:E61,A59:A61)*(1/24)</f>
        <v>7.2410460596606452</v>
      </c>
    </row>
    <row r="72" spans="1:24" x14ac:dyDescent="0.2">
      <c r="A72" t="s">
        <v>193</v>
      </c>
      <c r="B72">
        <f>SLOPE(P61:P63,A61:A63)*(1/24)</f>
        <v>0.46416083914733119</v>
      </c>
      <c r="C72">
        <f>SLOPE(H61:H63,A61:A63)*(1/24)</f>
        <v>3.5870349649304356</v>
      </c>
      <c r="D72">
        <f>SLOPE(E61:E63,A61:A63)*(1/24)</f>
        <v>1.6957342656848928</v>
      </c>
    </row>
    <row r="73" spans="1:24" x14ac:dyDescent="0.2">
      <c r="A73" t="s">
        <v>194</v>
      </c>
      <c r="B73">
        <f>SLOPE(P64:P66,A64:A66)*(1/24)</f>
        <v>8.8327357446918828</v>
      </c>
      <c r="C73">
        <f>SLOPE(H64:H66,A64:A66)*(1/24)</f>
        <v>-12.576229536185846</v>
      </c>
      <c r="D73">
        <f>SLOPE(E64:E66,A64:A66)*(1/24)</f>
        <v>-3.9074664651503426</v>
      </c>
    </row>
    <row r="75" spans="1:24" x14ac:dyDescent="0.2">
      <c r="A75" s="33" t="s">
        <v>155</v>
      </c>
      <c r="B75" s="34">
        <v>400</v>
      </c>
      <c r="C75" s="35"/>
      <c r="D75" s="35"/>
      <c r="E75" s="35"/>
      <c r="F75" s="35"/>
      <c r="G75" s="35"/>
      <c r="H75" s="35"/>
      <c r="I75" s="35"/>
      <c r="J75" s="35"/>
      <c r="K75" s="35"/>
      <c r="L75" s="35"/>
      <c r="M75" s="35"/>
      <c r="N75" s="35"/>
      <c r="O75" s="35"/>
      <c r="P75" s="35"/>
      <c r="Q75" s="35"/>
      <c r="R75" s="35"/>
    </row>
    <row r="76" spans="1:24" x14ac:dyDescent="0.2">
      <c r="A76" s="33" t="s">
        <v>156</v>
      </c>
      <c r="B76" s="34">
        <v>3.58</v>
      </c>
      <c r="C76" s="35"/>
      <c r="D76" s="35"/>
      <c r="E76" s="35"/>
      <c r="F76" s="35"/>
      <c r="G76" s="35"/>
      <c r="H76" s="35"/>
      <c r="I76" s="35"/>
      <c r="J76" s="35"/>
      <c r="K76" s="35"/>
      <c r="L76" s="35"/>
      <c r="M76" s="35"/>
      <c r="N76" s="35"/>
      <c r="O76" s="35"/>
      <c r="P76" s="35"/>
      <c r="Q76" s="35"/>
      <c r="R76" s="35"/>
    </row>
    <row r="77" spans="1:24" x14ac:dyDescent="0.2">
      <c r="A77" s="33" t="s">
        <v>157</v>
      </c>
      <c r="B77" s="34">
        <v>1</v>
      </c>
      <c r="C77" s="35"/>
      <c r="D77" s="35"/>
      <c r="E77" s="35"/>
      <c r="F77" s="35"/>
      <c r="G77" s="35"/>
      <c r="H77" s="35"/>
      <c r="I77" s="35"/>
      <c r="J77" s="35"/>
      <c r="K77" s="35"/>
      <c r="L77" s="35"/>
      <c r="M77" s="35"/>
      <c r="N77" s="35"/>
      <c r="O77" s="35"/>
      <c r="P77" s="35"/>
      <c r="Q77" s="35"/>
      <c r="R77" s="35"/>
    </row>
    <row r="78" spans="1:24" x14ac:dyDescent="0.2">
      <c r="A78" s="33" t="s">
        <v>158</v>
      </c>
      <c r="B78" s="34">
        <v>1.0249999999999999</v>
      </c>
      <c r="C78" s="35"/>
      <c r="D78" s="35"/>
      <c r="E78" s="35"/>
      <c r="F78" s="35"/>
      <c r="G78" s="35"/>
      <c r="H78" s="35"/>
      <c r="I78" s="35"/>
      <c r="J78" s="35"/>
      <c r="K78" s="35"/>
      <c r="L78" s="35"/>
      <c r="M78" s="35"/>
      <c r="N78" s="35"/>
      <c r="O78" s="35"/>
      <c r="P78" s="35"/>
      <c r="Q78" s="35"/>
      <c r="R78" s="35"/>
    </row>
    <row r="79" spans="1:24" x14ac:dyDescent="0.2">
      <c r="A79" s="33" t="s">
        <v>159</v>
      </c>
      <c r="B79" s="34">
        <v>1978</v>
      </c>
      <c r="C79" s="35"/>
      <c r="D79" s="35"/>
      <c r="E79" s="35"/>
      <c r="F79" s="35"/>
      <c r="G79" s="35"/>
      <c r="H79" s="35"/>
      <c r="I79" s="35"/>
      <c r="J79" s="35"/>
      <c r="K79" s="35"/>
      <c r="L79" s="35"/>
      <c r="M79" s="35"/>
      <c r="N79" s="35"/>
      <c r="O79" s="35"/>
      <c r="P79" s="35"/>
      <c r="Q79" s="35"/>
      <c r="R79" s="35"/>
    </row>
    <row r="80" spans="1:24" x14ac:dyDescent="0.2">
      <c r="A80" s="33" t="s">
        <v>160</v>
      </c>
      <c r="B80" s="34">
        <v>2332</v>
      </c>
      <c r="C80" s="35"/>
      <c r="D80" s="35"/>
      <c r="E80" s="35"/>
      <c r="F80" s="35"/>
      <c r="G80" s="35"/>
      <c r="H80" s="35"/>
      <c r="I80" s="35"/>
      <c r="J80" s="35"/>
      <c r="K80" s="35"/>
      <c r="L80" s="35"/>
      <c r="M80" s="35"/>
      <c r="N80" s="35"/>
      <c r="O80" s="35"/>
      <c r="P80" s="35"/>
      <c r="Q80" s="35"/>
      <c r="R80" s="35"/>
    </row>
    <row r="81" spans="1:21" x14ac:dyDescent="0.2">
      <c r="A81" s="33" t="s">
        <v>161</v>
      </c>
      <c r="B81" s="34">
        <v>197</v>
      </c>
      <c r="C81" s="35"/>
      <c r="D81" s="35"/>
      <c r="E81" s="35"/>
      <c r="F81" s="35"/>
      <c r="G81" s="35"/>
      <c r="H81" s="35"/>
      <c r="I81" s="35"/>
      <c r="J81" s="35"/>
      <c r="K81" s="35"/>
      <c r="L81" s="35"/>
      <c r="M81" s="35"/>
      <c r="N81" s="35"/>
      <c r="O81" s="35"/>
      <c r="P81" s="35"/>
      <c r="Q81" s="35"/>
      <c r="R81" s="35"/>
    </row>
    <row r="82" spans="1:21" x14ac:dyDescent="0.2">
      <c r="A82" s="35"/>
      <c r="B82" s="35"/>
      <c r="C82" s="35"/>
      <c r="D82" s="35"/>
      <c r="E82" s="35"/>
      <c r="F82" s="35"/>
      <c r="G82" s="35"/>
      <c r="H82" s="35"/>
      <c r="I82" s="35"/>
      <c r="J82" s="35"/>
      <c r="K82" s="35"/>
      <c r="L82" s="35"/>
      <c r="M82" s="35"/>
      <c r="N82" s="35"/>
      <c r="O82" s="35"/>
      <c r="P82" s="35"/>
      <c r="Q82" s="35"/>
      <c r="R82" s="35"/>
    </row>
    <row r="83" spans="1:21" x14ac:dyDescent="0.2">
      <c r="A83" s="36" t="s">
        <v>162</v>
      </c>
      <c r="B83" s="35"/>
      <c r="C83" s="35"/>
      <c r="D83" s="35"/>
      <c r="E83" s="35"/>
      <c r="F83" s="35"/>
      <c r="G83" s="35"/>
      <c r="H83" s="35"/>
      <c r="I83" s="35"/>
      <c r="J83" s="35"/>
      <c r="K83" s="35"/>
      <c r="L83" s="35"/>
      <c r="M83" s="35"/>
      <c r="N83" s="35"/>
      <c r="O83" s="35"/>
      <c r="P83" s="35"/>
      <c r="Q83" s="35"/>
      <c r="R83" s="35"/>
    </row>
    <row r="84" spans="1:21" x14ac:dyDescent="0.2">
      <c r="A84" s="35" t="s">
        <v>163</v>
      </c>
      <c r="B84" s="35" t="s">
        <v>71</v>
      </c>
      <c r="C84" s="35" t="s">
        <v>164</v>
      </c>
      <c r="D84" s="35" t="s">
        <v>165</v>
      </c>
      <c r="E84" s="35" t="s">
        <v>166</v>
      </c>
      <c r="F84" t="s">
        <v>315</v>
      </c>
      <c r="G84" s="35" t="s">
        <v>167</v>
      </c>
      <c r="H84" s="35"/>
      <c r="I84" s="35" t="s">
        <v>168</v>
      </c>
      <c r="J84" s="35" t="s">
        <v>169</v>
      </c>
      <c r="K84" s="35"/>
      <c r="L84" s="35" t="s">
        <v>171</v>
      </c>
      <c r="M84" s="35" t="s">
        <v>172</v>
      </c>
      <c r="N84" s="35" t="s">
        <v>173</v>
      </c>
      <c r="O84" t="s">
        <v>315</v>
      </c>
      <c r="P84" s="35" t="s">
        <v>170</v>
      </c>
      <c r="Q84" s="35" t="s">
        <v>174</v>
      </c>
      <c r="R84" t="s">
        <v>315</v>
      </c>
      <c r="S84" s="35" t="s">
        <v>175</v>
      </c>
      <c r="T84" s="35"/>
      <c r="U84" s="35" t="s">
        <v>176</v>
      </c>
    </row>
    <row r="85" spans="1:21" x14ac:dyDescent="0.2">
      <c r="A85" s="35" t="s">
        <v>177</v>
      </c>
      <c r="B85" s="37">
        <v>42323.25</v>
      </c>
      <c r="C85" s="35" t="s">
        <v>195</v>
      </c>
      <c r="D85" s="35" t="s">
        <v>195</v>
      </c>
      <c r="E85" s="38" t="s">
        <v>195</v>
      </c>
      <c r="F85" s="38" t="s">
        <v>195</v>
      </c>
      <c r="G85" s="38" t="s">
        <v>195</v>
      </c>
      <c r="H85" s="35"/>
      <c r="I85" s="35" t="s">
        <v>195</v>
      </c>
      <c r="J85" s="35" t="s">
        <v>195</v>
      </c>
      <c r="K85" s="35"/>
      <c r="L85" s="35" t="s">
        <v>195</v>
      </c>
      <c r="M85" s="35" t="s">
        <v>195</v>
      </c>
      <c r="N85" s="35" t="s">
        <v>195</v>
      </c>
      <c r="O85" s="35" t="s">
        <v>195</v>
      </c>
      <c r="P85" s="17" t="s">
        <v>195</v>
      </c>
      <c r="Q85" s="35" t="s">
        <v>195</v>
      </c>
      <c r="R85" t="s">
        <v>195</v>
      </c>
      <c r="S85" s="35" t="s">
        <v>195</v>
      </c>
      <c r="T85" s="35"/>
      <c r="U85" s="35" t="s">
        <v>195</v>
      </c>
    </row>
    <row r="86" spans="1:21" x14ac:dyDescent="0.2">
      <c r="A86" s="35" t="s">
        <v>178</v>
      </c>
      <c r="B86" s="37">
        <v>42323.333333333336</v>
      </c>
      <c r="C86">
        <f>(V56/$B$77)*(R56-O56)</f>
        <v>-0.26452116590406138</v>
      </c>
      <c r="D86">
        <f>(1/$B$76)*$B$81-(1/$B$76)*P56</f>
        <v>-0.51928209869697639</v>
      </c>
      <c r="E86" s="17">
        <f>($B$70)-(C86+D86)</f>
        <v>14.659080751424263</v>
      </c>
      <c r="F86">
        <f>E86/1000*1025</f>
        <v>15.02555777020987</v>
      </c>
      <c r="G86" s="17">
        <f>24*($B87-$B86)*F86</f>
        <v>30.051115541294344</v>
      </c>
      <c r="I86">
        <f t="shared" ref="I86:I97" si="24">(1/$B$76)*$B$80-(1/$B$76)*E56</f>
        <v>1.5685251677775796</v>
      </c>
      <c r="J86" s="17">
        <f>($D$70)-(I86)</f>
        <v>-8.6004154223670888</v>
      </c>
      <c r="L86">
        <f t="shared" ref="L86:L97" si="25">(X56/$B$77)*(K56-J56)</f>
        <v>-6.0863273082526273E-2</v>
      </c>
      <c r="M86">
        <f t="shared" ref="M86:M97" si="26">(1/$B$76)*$B$79-(1/$B$76)*H56</f>
        <v>-16.452615484090529</v>
      </c>
      <c r="N86">
        <f t="shared" ref="N86:N97" si="27">J86/2</f>
        <v>-4.3002077111835444</v>
      </c>
      <c r="O86">
        <f>N86/1000*1025</f>
        <v>-4.4077129039631329</v>
      </c>
      <c r="P86" s="17">
        <f>24*($B87-$B86)*O86</f>
        <v>-8.8154258081828285</v>
      </c>
      <c r="Q86" s="17">
        <f>($C$70)-(N86+M86+L86)</f>
        <v>-0.25283096353365764</v>
      </c>
      <c r="R86">
        <f t="shared" ref="R86:R97" si="28">Q86/1000*1025</f>
        <v>-0.25915173762199911</v>
      </c>
      <c r="S86" s="17">
        <f>24*($B87-$B86)*R86</f>
        <v>-0.51830347525908282</v>
      </c>
      <c r="U86">
        <f>F86/R86</f>
        <v>-57.979768563721819</v>
      </c>
    </row>
    <row r="87" spans="1:21" x14ac:dyDescent="0.2">
      <c r="A87" s="35" t="s">
        <v>179</v>
      </c>
      <c r="B87" s="37">
        <v>42323.416666666672</v>
      </c>
      <c r="C87">
        <f t="shared" ref="C87:C97" si="29">(V57/$B$77)*(R57-O57)</f>
        <v>-1.3083897532897977</v>
      </c>
      <c r="D87">
        <f t="shared" ref="D87:D97" si="30">(1/$B$76)*$B$81-(1/$B$76)*P57</f>
        <v>-11.336282854036213</v>
      </c>
      <c r="E87" s="17">
        <f>($B$70)-(C87+D87)</f>
        <v>26.519950094149237</v>
      </c>
      <c r="F87">
        <f t="shared" ref="F87:F97" si="31">E87/1000*1025</f>
        <v>27.182948846502967</v>
      </c>
      <c r="G87" s="17">
        <f t="shared" ref="G87:G96" si="32">24*($B88-$B87)*F87</f>
        <v>54.365973201420516</v>
      </c>
      <c r="I87">
        <f t="shared" si="24"/>
        <v>8.2720932848411621</v>
      </c>
      <c r="J87" s="17">
        <f t="shared" ref="J87:J88" si="33">($D$70)-(I87)</f>
        <v>-15.303983539430671</v>
      </c>
      <c r="L87">
        <f t="shared" si="25"/>
        <v>-1.4768287901863009E-2</v>
      </c>
      <c r="M87">
        <f t="shared" si="26"/>
        <v>-0.6926062014922536</v>
      </c>
      <c r="N87">
        <f t="shared" si="27"/>
        <v>-7.6519917697153357</v>
      </c>
      <c r="O87">
        <f t="shared" ref="O87:O97" si="34">N87/1000*1025</f>
        <v>-7.8432915639582195</v>
      </c>
      <c r="P87" s="17">
        <f t="shared" ref="P87:P96" si="35">24*($B88-$B87)*O87</f>
        <v>-15.686604914901894</v>
      </c>
      <c r="Q87" s="17">
        <f>($C$70)-(N87+M87+L87)</f>
        <v>-12.707151172780806</v>
      </c>
      <c r="R87">
        <f t="shared" si="28"/>
        <v>-13.024829952100328</v>
      </c>
      <c r="S87" s="17">
        <f t="shared" ref="S87:S96" si="36">24*($B88-$B87)*R87</f>
        <v>-26.049696084390874</v>
      </c>
      <c r="U87">
        <f t="shared" ref="U87:U96" si="37">F87/R87</f>
        <v>-2.0870098839270881</v>
      </c>
    </row>
    <row r="88" spans="1:21" x14ac:dyDescent="0.2">
      <c r="A88" s="35" t="s">
        <v>180</v>
      </c>
      <c r="B88" s="37">
        <v>42323.500000115746</v>
      </c>
      <c r="C88">
        <f t="shared" si="29"/>
        <v>-1.8332406066579963</v>
      </c>
      <c r="D88">
        <f t="shared" si="30"/>
        <v>-16.022385435793254</v>
      </c>
      <c r="E88" s="17">
        <f>($B$71)-(C88+D88)</f>
        <v>2.6394255063705891</v>
      </c>
      <c r="F88">
        <f t="shared" si="31"/>
        <v>2.7054111440298536</v>
      </c>
      <c r="G88" s="17">
        <f t="shared" si="32"/>
        <v>10.821652090857647</v>
      </c>
      <c r="I88">
        <f t="shared" si="24"/>
        <v>9.4253857873970901</v>
      </c>
      <c r="J88" s="17">
        <f t="shared" si="33"/>
        <v>-16.457276041986599</v>
      </c>
      <c r="L88">
        <f t="shared" si="25"/>
        <v>5.9744174447511414E-3</v>
      </c>
      <c r="M88">
        <f t="shared" si="26"/>
        <v>7.0853928194710534</v>
      </c>
      <c r="N88">
        <f t="shared" si="27"/>
        <v>-8.2286380209932997</v>
      </c>
      <c r="O88">
        <f t="shared" si="34"/>
        <v>-8.4343539715181315</v>
      </c>
      <c r="P88" s="17">
        <f t="shared" si="35"/>
        <v>-33.737439313920966</v>
      </c>
      <c r="Q88" s="17">
        <f>($C$70)-(N88+M88+L88)</f>
        <v>-19.929246647812764</v>
      </c>
      <c r="R88">
        <f t="shared" si="28"/>
        <v>-20.427477814008082</v>
      </c>
      <c r="S88" s="17">
        <f t="shared" si="36"/>
        <v>-81.709967996816019</v>
      </c>
      <c r="U88">
        <f t="shared" si="37"/>
        <v>-0.13243980332092814</v>
      </c>
    </row>
    <row r="89" spans="1:21" x14ac:dyDescent="0.2">
      <c r="A89" s="35" t="s">
        <v>182</v>
      </c>
      <c r="B89" s="37">
        <v>42323.666666898149</v>
      </c>
      <c r="C89">
        <f t="shared" si="29"/>
        <v>-2.0371715171998503</v>
      </c>
      <c r="D89">
        <f t="shared" si="30"/>
        <v>-17.903575044055344</v>
      </c>
      <c r="E89" s="17">
        <f>($B$71)-(C89+D89)</f>
        <v>4.7245460251745364</v>
      </c>
      <c r="F89">
        <f t="shared" si="31"/>
        <v>4.8426596758039002</v>
      </c>
      <c r="G89" s="17">
        <f t="shared" si="32"/>
        <v>9.6853260781076713</v>
      </c>
      <c r="I89">
        <f t="shared" si="24"/>
        <v>12.674252933898174</v>
      </c>
      <c r="J89" s="17">
        <f>($D$71)-(I89)</f>
        <v>-5.4332068742375288</v>
      </c>
      <c r="L89">
        <f t="shared" si="25"/>
        <v>1.7556458251388199E-2</v>
      </c>
      <c r="M89">
        <f t="shared" si="26"/>
        <v>13.205166660417717</v>
      </c>
      <c r="N89">
        <f t="shared" si="27"/>
        <v>-2.7166034371187644</v>
      </c>
      <c r="O89">
        <f t="shared" si="34"/>
        <v>-2.7845185230467338</v>
      </c>
      <c r="P89" s="17">
        <f t="shared" si="35"/>
        <v>-5.5690409138159049</v>
      </c>
      <c r="Q89" s="17">
        <f>($C$71)-(N89+M89+L89)</f>
        <v>12.888237337306343</v>
      </c>
      <c r="R89">
        <f t="shared" si="28"/>
        <v>13.210443270739001</v>
      </c>
      <c r="S89" s="17">
        <f t="shared" si="36"/>
        <v>26.420904890908044</v>
      </c>
      <c r="U89">
        <f t="shared" si="37"/>
        <v>0.36657813644530329</v>
      </c>
    </row>
    <row r="90" spans="1:21" x14ac:dyDescent="0.2">
      <c r="A90" s="35" t="s">
        <v>183</v>
      </c>
      <c r="B90" s="37">
        <v>42323.750000289358</v>
      </c>
      <c r="C90">
        <f t="shared" si="29"/>
        <v>-1.216406582303079</v>
      </c>
      <c r="D90">
        <f t="shared" si="30"/>
        <v>-8.225460237711367</v>
      </c>
      <c r="E90" s="17">
        <f>($B$71)-(C90+D90)</f>
        <v>-5.7743337160662129</v>
      </c>
      <c r="F90">
        <f t="shared" si="31"/>
        <v>-5.918692058967868</v>
      </c>
      <c r="G90" s="17">
        <f t="shared" si="32"/>
        <v>-23.67478467604235</v>
      </c>
      <c r="I90">
        <f t="shared" si="24"/>
        <v>8.5458456750778851</v>
      </c>
      <c r="J90" s="17">
        <f>($D$71)-(I90)</f>
        <v>-1.3047996154172399</v>
      </c>
      <c r="L90">
        <f t="shared" si="25"/>
        <v>-3.917653578260496E-3</v>
      </c>
      <c r="M90">
        <f t="shared" si="26"/>
        <v>1.9453713771512184</v>
      </c>
      <c r="N90">
        <f t="shared" si="27"/>
        <v>-0.65239980770861994</v>
      </c>
      <c r="O90">
        <f t="shared" si="34"/>
        <v>-0.66870980290133542</v>
      </c>
      <c r="P90" s="17">
        <f t="shared" si="35"/>
        <v>-2.6748410690602182</v>
      </c>
      <c r="Q90" s="17">
        <f>($C$71)-(N90+M90+L90)</f>
        <v>22.105303102992348</v>
      </c>
      <c r="R90">
        <f t="shared" si="28"/>
        <v>22.657935680567157</v>
      </c>
      <c r="S90" s="17">
        <f t="shared" si="36"/>
        <v>90.631805658527284</v>
      </c>
      <c r="U90">
        <f t="shared" si="37"/>
        <v>-0.26121938655003346</v>
      </c>
    </row>
    <row r="91" spans="1:21" x14ac:dyDescent="0.2">
      <c r="A91" s="35" t="s">
        <v>185</v>
      </c>
      <c r="B91" s="37">
        <v>42323.91666707176</v>
      </c>
      <c r="C91">
        <f t="shared" si="29"/>
        <v>0.93007684410984226</v>
      </c>
      <c r="D91">
        <f t="shared" si="30"/>
        <v>7.8339258506856311</v>
      </c>
      <c r="E91" s="17">
        <f>(AVERAGE($B$71,$B$72))-(C91+D91)</f>
        <v>-16.140022543262138</v>
      </c>
      <c r="F91">
        <f t="shared" si="31"/>
        <v>-16.54352310684369</v>
      </c>
      <c r="G91" s="17">
        <f t="shared" si="32"/>
        <v>-33.087069189907808</v>
      </c>
      <c r="I91">
        <f t="shared" si="24"/>
        <v>0.52179552291283926</v>
      </c>
      <c r="J91" s="17">
        <f>(AVERAGE(D71,D72))-(I91)</f>
        <v>3.9465946397599296</v>
      </c>
      <c r="L91">
        <f t="shared" si="25"/>
        <v>-0.16382986685171652</v>
      </c>
      <c r="M91">
        <f t="shared" si="26"/>
        <v>-25.641317341876061</v>
      </c>
      <c r="N91">
        <f t="shared" si="27"/>
        <v>1.9732973198799648</v>
      </c>
      <c r="O91">
        <f t="shared" si="34"/>
        <v>2.0226297528769637</v>
      </c>
      <c r="P91" s="17">
        <f t="shared" si="35"/>
        <v>4.0452623148524944</v>
      </c>
      <c r="Q91" s="17">
        <f>(AVERAGE($C$71,$C$72))-(N91+M91+L91)</f>
        <v>37.322545880741373</v>
      </c>
      <c r="R91">
        <f t="shared" si="28"/>
        <v>38.255609527759908</v>
      </c>
      <c r="S91" s="17">
        <f t="shared" si="36"/>
        <v>76.511272186241214</v>
      </c>
      <c r="U91">
        <f t="shared" si="37"/>
        <v>-0.43244698780289986</v>
      </c>
    </row>
    <row r="92" spans="1:21" x14ac:dyDescent="0.2">
      <c r="A92" s="35" t="s">
        <v>186</v>
      </c>
      <c r="B92" s="37">
        <v>42324.000000462962</v>
      </c>
      <c r="C92">
        <f t="shared" si="29"/>
        <v>0.78089534313527331</v>
      </c>
      <c r="D92">
        <f t="shared" si="30"/>
        <v>6.7966949251865429</v>
      </c>
      <c r="E92" s="17">
        <f>($B$72)-(C92+D92)</f>
        <v>-7.1134294291744853</v>
      </c>
      <c r="F92">
        <f t="shared" si="31"/>
        <v>-7.2912651649038471</v>
      </c>
      <c r="G92" s="17">
        <f t="shared" si="32"/>
        <v>-14.582540457443637</v>
      </c>
      <c r="I92">
        <f t="shared" si="24"/>
        <v>-0.22224479431190503</v>
      </c>
      <c r="J92" s="17">
        <f>($D$72)-(I92)</f>
        <v>1.9179790599967979</v>
      </c>
      <c r="L92">
        <f t="shared" si="25"/>
        <v>-0.17139680183123635</v>
      </c>
      <c r="M92">
        <f t="shared" si="26"/>
        <v>-27.162589365941358</v>
      </c>
      <c r="N92">
        <f t="shared" si="27"/>
        <v>0.95898952999839893</v>
      </c>
      <c r="O92">
        <f t="shared" si="34"/>
        <v>0.98296426824835892</v>
      </c>
      <c r="P92" s="17">
        <f t="shared" si="35"/>
        <v>1.9659299018433385</v>
      </c>
      <c r="Q92" s="17">
        <f>($C$72)-(N92+M92+L92)</f>
        <v>29.962031602704631</v>
      </c>
      <c r="R92">
        <f t="shared" si="28"/>
        <v>30.711082392772244</v>
      </c>
      <c r="S92" s="17">
        <f t="shared" si="36"/>
        <v>61.422207443526993</v>
      </c>
      <c r="U92">
        <f t="shared" si="37"/>
        <v>-0.23741478960767021</v>
      </c>
    </row>
    <row r="93" spans="1:21" x14ac:dyDescent="0.2">
      <c r="A93" s="35" t="s">
        <v>187</v>
      </c>
      <c r="B93" s="37">
        <v>42324.083333854171</v>
      </c>
      <c r="C93">
        <f t="shared" si="29"/>
        <v>0.93390445153388824</v>
      </c>
      <c r="D93">
        <f t="shared" si="30"/>
        <v>7.315310387936087</v>
      </c>
      <c r="E93" s="17">
        <f>($B$72)-(C93+D93)</f>
        <v>-7.7850540003226438</v>
      </c>
      <c r="F93">
        <f t="shared" si="31"/>
        <v>-7.9796803503307094</v>
      </c>
      <c r="G93" s="17">
        <f t="shared" si="32"/>
        <v>-15.959371783119098</v>
      </c>
      <c r="I93">
        <f t="shared" si="24"/>
        <v>-1.3728796343320937</v>
      </c>
      <c r="J93" s="17">
        <f>($D$72)-(I93)</f>
        <v>3.0686139000169863</v>
      </c>
      <c r="L93">
        <f t="shared" si="25"/>
        <v>-0.20106865703526799</v>
      </c>
      <c r="M93">
        <f t="shared" si="26"/>
        <v>-29.649177638004403</v>
      </c>
      <c r="N93">
        <f t="shared" si="27"/>
        <v>1.5343069500084932</v>
      </c>
      <c r="O93">
        <f t="shared" si="34"/>
        <v>1.5726646237587054</v>
      </c>
      <c r="P93" s="17">
        <f t="shared" si="35"/>
        <v>3.1453314316887524</v>
      </c>
      <c r="Q93" s="17">
        <f>($C$72)-(N93+M93+L93)</f>
        <v>31.902974309961614</v>
      </c>
      <c r="R93">
        <f t="shared" si="28"/>
        <v>32.700548667710656</v>
      </c>
      <c r="S93" s="17">
        <f t="shared" si="36"/>
        <v>65.40114275108094</v>
      </c>
      <c r="U93">
        <f t="shared" si="37"/>
        <v>-0.24402282761114791</v>
      </c>
    </row>
    <row r="94" spans="1:21" x14ac:dyDescent="0.2">
      <c r="A94" s="35" t="s">
        <v>188</v>
      </c>
      <c r="B94" s="37">
        <v>42324.166667245372</v>
      </c>
      <c r="C94">
        <f t="shared" si="29"/>
        <v>1.5308503565929592</v>
      </c>
      <c r="D94">
        <f t="shared" si="30"/>
        <v>10.254131343516818</v>
      </c>
      <c r="E94" s="17">
        <f>($B$73-(C94+D94))</f>
        <v>-2.9522459554178937</v>
      </c>
      <c r="F94">
        <f t="shared" si="31"/>
        <v>-3.026052104303341</v>
      </c>
      <c r="G94" s="17">
        <f t="shared" si="32"/>
        <v>-6.0521084112931192</v>
      </c>
      <c r="I94">
        <f t="shared" si="24"/>
        <v>-1.2456459741376875</v>
      </c>
      <c r="J94" s="17">
        <f>($D$73)-(I94)</f>
        <v>-2.6618204910126551</v>
      </c>
      <c r="L94">
        <f t="shared" si="25"/>
        <v>-0.25702185844500758</v>
      </c>
      <c r="M94">
        <f t="shared" si="26"/>
        <v>-32.799593702386915</v>
      </c>
      <c r="N94">
        <f t="shared" si="27"/>
        <v>-1.3309102455063275</v>
      </c>
      <c r="O94">
        <f t="shared" si="34"/>
        <v>-1.3641830016439858</v>
      </c>
      <c r="P94" s="17">
        <f t="shared" si="35"/>
        <v>-2.7283678979127832</v>
      </c>
      <c r="Q94" s="17">
        <f>($C$73)-(N94+M94+L94)</f>
        <v>21.811296270152408</v>
      </c>
      <c r="R94">
        <f t="shared" si="28"/>
        <v>22.356578676906217</v>
      </c>
      <c r="S94" s="17">
        <f t="shared" si="36"/>
        <v>44.713188403406676</v>
      </c>
      <c r="U94">
        <f t="shared" si="37"/>
        <v>-0.13535398899963064</v>
      </c>
    </row>
    <row r="95" spans="1:21" x14ac:dyDescent="0.2">
      <c r="A95" s="35" t="s">
        <v>189</v>
      </c>
      <c r="B95" s="37">
        <v>42324.250000636574</v>
      </c>
      <c r="C95">
        <f t="shared" si="29"/>
        <v>0.7158253526654994</v>
      </c>
      <c r="D95">
        <f t="shared" si="30"/>
        <v>5.6592186586551563</v>
      </c>
      <c r="E95" s="17">
        <f>($B$73-(C95+D95))</f>
        <v>2.4576917333712274</v>
      </c>
      <c r="F95">
        <f t="shared" si="31"/>
        <v>2.5191340267055078</v>
      </c>
      <c r="G95" s="17">
        <f t="shared" si="32"/>
        <v>5.0382715525118895</v>
      </c>
      <c r="I95">
        <f t="shared" si="24"/>
        <v>-0.95791142109521843</v>
      </c>
      <c r="J95" s="17">
        <f t="shared" ref="J95:J96" si="38">($D$73)-(I95)</f>
        <v>-2.9495550440551241</v>
      </c>
      <c r="L95">
        <f t="shared" si="25"/>
        <v>-0.18153997177958656</v>
      </c>
      <c r="M95">
        <f t="shared" si="26"/>
        <v>-26.494765109903028</v>
      </c>
      <c r="N95">
        <f t="shared" si="27"/>
        <v>-1.4747775220275621</v>
      </c>
      <c r="O95">
        <f t="shared" si="34"/>
        <v>-1.5116469600782512</v>
      </c>
      <c r="P95" s="17">
        <f t="shared" si="35"/>
        <v>-3.0232960198483583</v>
      </c>
      <c r="Q95" s="17">
        <f>($C$73)-(N95+M95+L95)</f>
        <v>15.57485306752433</v>
      </c>
      <c r="R95">
        <f t="shared" si="28"/>
        <v>15.964224394212438</v>
      </c>
      <c r="S95" s="17">
        <f t="shared" si="36"/>
        <v>31.928470962882823</v>
      </c>
      <c r="U95">
        <f t="shared" si="37"/>
        <v>0.15779871069832729</v>
      </c>
    </row>
    <row r="96" spans="1:21" x14ac:dyDescent="0.2">
      <c r="A96" s="35" t="s">
        <v>196</v>
      </c>
      <c r="B96" s="37">
        <v>42324.333334027782</v>
      </c>
      <c r="C96">
        <f t="shared" si="29"/>
        <v>-0.2614698038767736</v>
      </c>
      <c r="D96">
        <f t="shared" si="30"/>
        <v>0.38515285754034068</v>
      </c>
      <c r="E96" s="17">
        <f>($B$73-(C96+D96))</f>
        <v>8.7090526910283153</v>
      </c>
      <c r="F96">
        <f t="shared" si="31"/>
        <v>8.9267790083040222</v>
      </c>
      <c r="G96" s="17">
        <f t="shared" si="32"/>
        <v>17.853570414429289</v>
      </c>
      <c r="I96">
        <f t="shared" si="24"/>
        <v>3.12023834459319</v>
      </c>
      <c r="J96" s="17">
        <f t="shared" si="38"/>
        <v>-7.0277048097435326</v>
      </c>
      <c r="L96">
        <f t="shared" si="25"/>
        <v>-0.13942322472600571</v>
      </c>
      <c r="M96">
        <f t="shared" si="26"/>
        <v>-18.74794058892121</v>
      </c>
      <c r="N96">
        <f t="shared" si="27"/>
        <v>-3.5138524048717663</v>
      </c>
      <c r="O96">
        <f t="shared" si="34"/>
        <v>-3.6016987149935606</v>
      </c>
      <c r="P96" s="17">
        <f t="shared" si="35"/>
        <v>-7.2034024321515977</v>
      </c>
      <c r="Q96" s="17">
        <f>($C$73)-(N96+M96+L96)</f>
        <v>9.8249866823331367</v>
      </c>
      <c r="R96">
        <f t="shared" si="28"/>
        <v>10.070611349391465</v>
      </c>
      <c r="S96" s="17">
        <f t="shared" si="36"/>
        <v>20.141236685198322</v>
      </c>
      <c r="U96">
        <f t="shared" si="37"/>
        <v>0.88641877822476378</v>
      </c>
    </row>
    <row r="97" spans="1:24" x14ac:dyDescent="0.2">
      <c r="A97" s="35" t="s">
        <v>197</v>
      </c>
      <c r="B97" s="37">
        <v>42324.416667418984</v>
      </c>
      <c r="C97">
        <f t="shared" si="29"/>
        <v>-2.418264422027991</v>
      </c>
      <c r="D97">
        <f t="shared" si="30"/>
        <v>-10.681739315290756</v>
      </c>
      <c r="E97" s="17">
        <f>($B$70-(C97+D97))</f>
        <v>26.975281224141973</v>
      </c>
      <c r="F97">
        <f t="shared" si="31"/>
        <v>27.649663254745523</v>
      </c>
      <c r="G97" s="17" t="s">
        <v>195</v>
      </c>
      <c r="I97">
        <f t="shared" si="24"/>
        <v>8.797554029255366</v>
      </c>
      <c r="J97" s="17">
        <f>($D$70)-(I97)</f>
        <v>-15.829444283844875</v>
      </c>
      <c r="L97">
        <f t="shared" si="25"/>
        <v>-2.8324878919939307E-2</v>
      </c>
      <c r="M97">
        <f t="shared" si="26"/>
        <v>-0.46266799636100586</v>
      </c>
      <c r="N97">
        <f t="shared" si="27"/>
        <v>-7.9147221419224376</v>
      </c>
      <c r="O97">
        <f t="shared" si="34"/>
        <v>-8.1125901954704993</v>
      </c>
      <c r="P97" s="17" t="s">
        <v>195</v>
      </c>
      <c r="Q97" s="17">
        <f>($C$70)-(N97+M97+L97)</f>
        <v>-12.660802414686875</v>
      </c>
      <c r="R97">
        <f t="shared" si="28"/>
        <v>-12.977322475054047</v>
      </c>
      <c r="S97" t="s">
        <v>195</v>
      </c>
      <c r="U97" t="s">
        <v>195</v>
      </c>
    </row>
    <row r="99" spans="1:24" x14ac:dyDescent="0.2">
      <c r="A99" s="35" t="s">
        <v>99</v>
      </c>
      <c r="B99" t="s">
        <v>190</v>
      </c>
      <c r="C99" t="s">
        <v>331</v>
      </c>
    </row>
    <row r="100" spans="1:24" x14ac:dyDescent="0.2">
      <c r="A100" s="35" t="s">
        <v>191</v>
      </c>
      <c r="B100">
        <f>SLOPE(F86:F88,R86:R88)</f>
        <v>0.43950012219096718</v>
      </c>
      <c r="C100">
        <f>SLOPE(F86:F95,R86:R95)</f>
        <v>-0.51426340860466369</v>
      </c>
    </row>
    <row r="101" spans="1:24" x14ac:dyDescent="0.2">
      <c r="A101" s="35" t="s">
        <v>192</v>
      </c>
      <c r="B101">
        <f>SLOPE(F89:F91,R89:R91)</f>
        <v>-0.83664150804102844</v>
      </c>
    </row>
    <row r="102" spans="1:24" x14ac:dyDescent="0.2">
      <c r="A102" s="35" t="s">
        <v>193</v>
      </c>
      <c r="B102">
        <f>SLOPE(F91:F93,R91:R93)</f>
        <v>-1.2944255666788842</v>
      </c>
    </row>
    <row r="103" spans="1:24" x14ac:dyDescent="0.2">
      <c r="A103" s="35" t="s">
        <v>194</v>
      </c>
      <c r="B103">
        <f>SLOPE(F94:F96,R94:R96)</f>
        <v>-0.97140133724940358</v>
      </c>
    </row>
    <row r="105" spans="1:24" x14ac:dyDescent="0.2">
      <c r="A105" s="39" t="s">
        <v>85</v>
      </c>
    </row>
    <row r="106" spans="1:24" x14ac:dyDescent="0.2">
      <c r="A106" t="s">
        <v>71</v>
      </c>
      <c r="B106" t="s">
        <v>72</v>
      </c>
      <c r="C106" t="s">
        <v>21</v>
      </c>
      <c r="D106" t="s">
        <v>81</v>
      </c>
      <c r="E106" t="s">
        <v>73</v>
      </c>
      <c r="G106" t="s">
        <v>82</v>
      </c>
      <c r="H106" t="s">
        <v>74</v>
      </c>
      <c r="I106" t="s">
        <v>75</v>
      </c>
      <c r="J106" t="s">
        <v>76</v>
      </c>
      <c r="K106" t="s">
        <v>77</v>
      </c>
      <c r="M106" t="s">
        <v>78</v>
      </c>
      <c r="O106" t="s">
        <v>83</v>
      </c>
      <c r="P106" s="2" t="s">
        <v>300</v>
      </c>
      <c r="Q106" t="s">
        <v>79</v>
      </c>
      <c r="R106" t="s">
        <v>80</v>
      </c>
      <c r="T106" t="s">
        <v>68</v>
      </c>
      <c r="U106" s="2" t="s">
        <v>310</v>
      </c>
      <c r="V106" s="2" t="s">
        <v>312</v>
      </c>
      <c r="W106" s="2" t="s">
        <v>311</v>
      </c>
      <c r="X106" s="2" t="s">
        <v>313</v>
      </c>
    </row>
    <row r="107" spans="1:24" x14ac:dyDescent="0.2">
      <c r="A107" s="20">
        <v>42300.100694444445</v>
      </c>
      <c r="B107">
        <v>26.53</v>
      </c>
      <c r="C107" s="17">
        <v>36.1556</v>
      </c>
      <c r="D107">
        <v>2336.42</v>
      </c>
      <c r="E107" s="18">
        <f>(D107/C107)*35.4</f>
        <v>2287.5921848897542</v>
      </c>
      <c r="G107" s="17">
        <v>1900.75</v>
      </c>
      <c r="H107" s="18">
        <f>(G107/C107)*35.4</f>
        <v>1861.0270608149222</v>
      </c>
      <c r="I107" s="12">
        <v>2007.9312744140625</v>
      </c>
      <c r="J107" s="31">
        <v>6.6815275267483303</v>
      </c>
      <c r="K107" s="31">
        <v>10.833808273045957</v>
      </c>
      <c r="M107" s="15">
        <v>8.2074794769287109</v>
      </c>
      <c r="O107" s="17">
        <v>178.96</v>
      </c>
      <c r="P107" s="18">
        <f t="shared" ref="P107:P120" si="39">(O107/C107)*35.4</f>
        <v>175.21999358329001</v>
      </c>
      <c r="Q107" s="17">
        <v>199.738119495288</v>
      </c>
      <c r="R107" s="17">
        <f>Q107/1.025</f>
        <v>194.86645804418345</v>
      </c>
      <c r="S107" s="17"/>
      <c r="T107" s="17">
        <v>5.3644800000000004</v>
      </c>
      <c r="U107" s="17">
        <f>'All Experimental Diel Data'!U35</f>
        <v>413.39219908023199</v>
      </c>
      <c r="V107">
        <f>(0.251*(T107)^2*(U107/660)^(-0.5))/100</f>
        <v>9.1268268571035108E-2</v>
      </c>
      <c r="W107" s="17">
        <f>'All Experimental Diel Data'!W35</f>
        <v>485.61468412278901</v>
      </c>
      <c r="X107">
        <f>(0.251*(T107)^2*(W107/660)^(-0.5))/100</f>
        <v>8.420832812393883E-2</v>
      </c>
    </row>
    <row r="108" spans="1:24" x14ac:dyDescent="0.2">
      <c r="A108" s="20">
        <v>42300.260416666664</v>
      </c>
      <c r="B108">
        <v>26.16</v>
      </c>
      <c r="C108" s="17">
        <v>36.160299999999999</v>
      </c>
      <c r="D108">
        <v>2379.6</v>
      </c>
      <c r="E108" s="18">
        <f t="shared" ref="E108:E120" si="40">(D108/C108)*35.4</f>
        <v>2329.5669560263605</v>
      </c>
      <c r="G108" s="17">
        <v>2051.9499999999998</v>
      </c>
      <c r="H108" s="18">
        <f t="shared" ref="H108:H120" si="41">(G108/C108)*35.4</f>
        <v>2008.8060663213521</v>
      </c>
      <c r="I108" s="12">
        <v>2011.078369140625</v>
      </c>
      <c r="J108" s="31">
        <v>11.059618116988261</v>
      </c>
      <c r="K108" s="31">
        <v>10.932284338086886</v>
      </c>
      <c r="M108" s="15">
        <v>8.0466423034667969</v>
      </c>
      <c r="O108" s="17">
        <v>187.34</v>
      </c>
      <c r="P108" s="18">
        <f t="shared" si="39"/>
        <v>183.40102266850664</v>
      </c>
      <c r="Q108" s="17">
        <v>200.94631974997199</v>
      </c>
      <c r="R108" s="17">
        <f t="shared" ref="R108:R120" si="42">Q108/1.025</f>
        <v>196.04518999997268</v>
      </c>
      <c r="S108" s="17"/>
      <c r="T108" s="17">
        <v>4.91744</v>
      </c>
      <c r="U108" s="17">
        <f>'All Experimental Diel Data'!U36</f>
        <v>420.84976086100829</v>
      </c>
      <c r="V108">
        <f t="shared" ref="V108:V120" si="43">(0.251*(T108)^2*(U108/660)^(-0.5))/100</f>
        <v>7.6008171687422424E-2</v>
      </c>
      <c r="W108" s="17">
        <f>'All Experimental Diel Data'!W36</f>
        <v>494.37989974376427</v>
      </c>
      <c r="X108">
        <f t="shared" ref="X108:X120" si="44">(0.251*(T108)^2*(W108/660)^(-0.5))/100</f>
        <v>7.0128318523338687E-2</v>
      </c>
    </row>
    <row r="109" spans="1:24" x14ac:dyDescent="0.2">
      <c r="A109" s="20">
        <v>42300.333333333336</v>
      </c>
      <c r="B109">
        <v>26.56</v>
      </c>
      <c r="C109" s="17">
        <v>36.184199999999997</v>
      </c>
      <c r="D109">
        <v>2385.9499999999998</v>
      </c>
      <c r="E109" s="18">
        <f t="shared" si="40"/>
        <v>2334.2406354154577</v>
      </c>
      <c r="G109" s="17">
        <v>2037.9099999999999</v>
      </c>
      <c r="H109" s="18">
        <f t="shared" si="41"/>
        <v>1993.743512361749</v>
      </c>
      <c r="I109" s="12">
        <v>2007.509521484375</v>
      </c>
      <c r="J109" s="31">
        <v>10.217888079467469</v>
      </c>
      <c r="K109" s="31">
        <v>10.824283507235906</v>
      </c>
      <c r="M109" s="15">
        <v>8.0712156295776367</v>
      </c>
      <c r="O109" s="17">
        <v>200.71</v>
      </c>
      <c r="P109" s="18">
        <f t="shared" si="39"/>
        <v>196.36012403203611</v>
      </c>
      <c r="Q109" s="17">
        <v>199.60392923672899</v>
      </c>
      <c r="R109" s="17">
        <f t="shared" si="42"/>
        <v>194.73554071876001</v>
      </c>
      <c r="S109" s="17"/>
      <c r="T109" s="17">
        <v>4.4703999999999997</v>
      </c>
      <c r="U109" s="17">
        <f>'All Experimental Diel Data'!U37</f>
        <v>412.7931632449625</v>
      </c>
      <c r="V109">
        <f t="shared" si="43"/>
        <v>6.3426713720210817E-2</v>
      </c>
      <c r="W109" s="17">
        <f>'All Experimental Diel Data'!W37</f>
        <v>484.91099077705758</v>
      </c>
      <c r="X109">
        <f t="shared" si="44"/>
        <v>5.8520421328024652E-2</v>
      </c>
    </row>
    <row r="110" spans="1:24" x14ac:dyDescent="0.2">
      <c r="A110" s="20">
        <v>42300.416666666664</v>
      </c>
      <c r="B110">
        <v>27.18</v>
      </c>
      <c r="C110" s="17">
        <v>36.194000000000003</v>
      </c>
      <c r="D110">
        <v>2373.6799999999998</v>
      </c>
      <c r="E110" s="18">
        <f t="shared" si="40"/>
        <v>2321.6077802950758</v>
      </c>
      <c r="G110" s="17">
        <v>2003.845</v>
      </c>
      <c r="H110" s="18">
        <f t="shared" si="41"/>
        <v>1959.8859755760623</v>
      </c>
      <c r="I110" s="12">
        <v>2002.1142578125</v>
      </c>
      <c r="J110" s="31">
        <v>9.2723825295105105</v>
      </c>
      <c r="K110" s="31">
        <v>10.662062176407076</v>
      </c>
      <c r="M110" s="15">
        <v>8.0967721939086914</v>
      </c>
      <c r="O110" s="17">
        <v>221.68</v>
      </c>
      <c r="P110" s="18">
        <f t="shared" si="39"/>
        <v>216.81693098303583</v>
      </c>
      <c r="Q110" s="17">
        <v>197.591161283551</v>
      </c>
      <c r="R110" s="17">
        <f t="shared" si="42"/>
        <v>192.77186466687905</v>
      </c>
      <c r="S110" s="17"/>
      <c r="T110" s="17">
        <v>3.5763199999999999</v>
      </c>
      <c r="U110" s="17">
        <f>'All Experimental Diel Data'!U38</f>
        <v>400.5982660473714</v>
      </c>
      <c r="V110">
        <f t="shared" si="43"/>
        <v>4.120632651555968E-2</v>
      </c>
      <c r="W110" s="17">
        <f>'All Experimental Diel Data'!W38</f>
        <v>470.59818075087742</v>
      </c>
      <c r="X110">
        <f t="shared" si="44"/>
        <v>3.8018353993463261E-2</v>
      </c>
    </row>
    <row r="111" spans="1:24" x14ac:dyDescent="0.2">
      <c r="A111" s="20">
        <v>42300.5</v>
      </c>
      <c r="B111">
        <v>27.62</v>
      </c>
      <c r="C111" s="17">
        <v>36.191000000000003</v>
      </c>
      <c r="D111">
        <v>2344.02</v>
      </c>
      <c r="E111" s="18">
        <f t="shared" si="40"/>
        <v>2292.788483324583</v>
      </c>
      <c r="G111" s="17">
        <v>1982.145</v>
      </c>
      <c r="H111" s="18">
        <f t="shared" si="41"/>
        <v>1938.822718355392</v>
      </c>
      <c r="I111" s="12">
        <v>1998.32861328125</v>
      </c>
      <c r="J111" s="31">
        <v>9.4031468963436726</v>
      </c>
      <c r="K111" s="31">
        <v>10.55009504166574</v>
      </c>
      <c r="M111" s="15">
        <v>8.0832967758178711</v>
      </c>
      <c r="O111" s="17">
        <v>229.12</v>
      </c>
      <c r="P111" s="18">
        <f t="shared" si="39"/>
        <v>224.11229311154705</v>
      </c>
      <c r="Q111" s="17">
        <v>196.19885976542099</v>
      </c>
      <c r="R111" s="17">
        <f t="shared" si="42"/>
        <v>191.41352172236196</v>
      </c>
      <c r="S111" s="17"/>
      <c r="T111" s="17">
        <v>3.1292800000000001</v>
      </c>
      <c r="U111" s="17">
        <f>'All Experimental Diel Data'!U39</f>
        <v>392.15395199078773</v>
      </c>
      <c r="V111">
        <f t="shared" si="43"/>
        <v>3.1886455088909971E-2</v>
      </c>
      <c r="W111" s="17">
        <f>'All Experimental Diel Data'!W39</f>
        <v>460.70161282335465</v>
      </c>
      <c r="X111">
        <f t="shared" si="44"/>
        <v>2.9418780901385441E-2</v>
      </c>
    </row>
    <row r="112" spans="1:24" x14ac:dyDescent="0.2">
      <c r="A112" s="20">
        <v>42300.583333333336</v>
      </c>
      <c r="B112">
        <v>27.7</v>
      </c>
      <c r="C112" s="17">
        <v>36.185200000000002</v>
      </c>
      <c r="D112">
        <v>2364.16</v>
      </c>
      <c r="E112" s="18">
        <f t="shared" si="40"/>
        <v>2312.8589589113776</v>
      </c>
      <c r="G112" s="17">
        <v>1985.9050000000002</v>
      </c>
      <c r="H112" s="18">
        <f t="shared" si="41"/>
        <v>1942.8118954710765</v>
      </c>
      <c r="I112" s="12">
        <v>1997.669921875</v>
      </c>
      <c r="J112" s="31">
        <v>8.9313633874982603</v>
      </c>
      <c r="K112" s="31">
        <v>10.530246521086012</v>
      </c>
      <c r="M112" s="15">
        <v>8.1031932830810547</v>
      </c>
      <c r="O112" s="17">
        <v>226.57</v>
      </c>
      <c r="P112" s="18">
        <f t="shared" si="39"/>
        <v>221.6535489647701</v>
      </c>
      <c r="Q112" s="17">
        <v>195.95427844185201</v>
      </c>
      <c r="R112" s="17">
        <f t="shared" si="42"/>
        <v>191.17490579692881</v>
      </c>
      <c r="S112" s="17"/>
      <c r="T112" s="17">
        <v>2.9057599999999999</v>
      </c>
      <c r="U112" s="17">
        <f>'All Experimental Diel Data'!U40</f>
        <v>390.63702651257051</v>
      </c>
      <c r="V112">
        <f t="shared" si="43"/>
        <v>2.7547263844718239E-2</v>
      </c>
      <c r="W112" s="17">
        <f>'All Experimental Diel Data'!W40</f>
        <v>458.92503833654996</v>
      </c>
      <c r="X112">
        <f t="shared" si="44"/>
        <v>2.5415244670239982E-2</v>
      </c>
    </row>
    <row r="113" spans="1:24" x14ac:dyDescent="0.2">
      <c r="A113" s="20">
        <v>42300.666666666664</v>
      </c>
      <c r="B113">
        <v>27.4</v>
      </c>
      <c r="C113" s="17">
        <v>36.197000000000003</v>
      </c>
      <c r="D113">
        <v>2349.4899999999998</v>
      </c>
      <c r="E113" s="18">
        <f t="shared" si="40"/>
        <v>2297.7579909937281</v>
      </c>
      <c r="G113" s="17">
        <v>1983.105</v>
      </c>
      <c r="H113" s="18">
        <f t="shared" si="41"/>
        <v>1939.4402022267036</v>
      </c>
      <c r="I113" s="12">
        <v>2000.19677734375</v>
      </c>
      <c r="J113" s="31">
        <v>9.2353411569319306</v>
      </c>
      <c r="K113" s="31">
        <v>10.605569397012516</v>
      </c>
      <c r="M113" s="15">
        <v>8.0923471450805664</v>
      </c>
      <c r="O113" s="17">
        <v>221.94</v>
      </c>
      <c r="P113" s="18">
        <f t="shared" si="39"/>
        <v>217.05323645605986</v>
      </c>
      <c r="Q113" s="17">
        <v>196.88699594090599</v>
      </c>
      <c r="R113" s="17">
        <f t="shared" si="42"/>
        <v>192.08487408868879</v>
      </c>
      <c r="S113" s="17"/>
      <c r="T113" s="17">
        <v>2.9057599999999999</v>
      </c>
      <c r="U113" s="17">
        <f>'All Experimental Diel Data'!U41</f>
        <v>396.35460425552026</v>
      </c>
      <c r="V113">
        <f t="shared" si="43"/>
        <v>2.7347851792026381E-2</v>
      </c>
      <c r="W113" s="17">
        <f>'All Experimental Diel Data'!W41</f>
        <v>465.62323340879942</v>
      </c>
      <c r="X113">
        <f t="shared" si="44"/>
        <v>2.5231777728675769E-2</v>
      </c>
    </row>
    <row r="114" spans="1:24" x14ac:dyDescent="0.2">
      <c r="A114" s="20">
        <v>42300.739583333336</v>
      </c>
      <c r="B114">
        <v>27.02</v>
      </c>
      <c r="C114" s="17">
        <v>36.177799999999998</v>
      </c>
      <c r="D114">
        <v>2348.7199999999998</v>
      </c>
      <c r="E114" s="18">
        <f t="shared" si="40"/>
        <v>2298.2239937199056</v>
      </c>
      <c r="G114" s="17">
        <v>1992.54</v>
      </c>
      <c r="H114" s="18">
        <f t="shared" si="41"/>
        <v>1949.7016402324077</v>
      </c>
      <c r="I114" s="12">
        <v>2003.5875244140625</v>
      </c>
      <c r="J114" s="31">
        <v>9.5926048545135885</v>
      </c>
      <c r="K114" s="31">
        <v>10.704255329112073</v>
      </c>
      <c r="M114" s="15">
        <v>8.0829381942749023</v>
      </c>
      <c r="O114" s="17">
        <v>211.03</v>
      </c>
      <c r="P114" s="18">
        <f t="shared" si="39"/>
        <v>206.4929874121699</v>
      </c>
      <c r="Q114" s="17">
        <v>198.12399993025701</v>
      </c>
      <c r="R114" s="17">
        <f t="shared" si="42"/>
        <v>193.29170724903125</v>
      </c>
      <c r="S114" s="17"/>
      <c r="T114" s="17">
        <v>3.1292800000000001</v>
      </c>
      <c r="U114" s="17">
        <f>'All Experimental Diel Data'!U42</f>
        <v>403.71183420712339</v>
      </c>
      <c r="V114">
        <f t="shared" si="43"/>
        <v>3.1426701319081228E-2</v>
      </c>
      <c r="W114" s="17">
        <f>'All Experimental Diel Data'!W42</f>
        <v>474.25017595041669</v>
      </c>
      <c r="X114">
        <f t="shared" si="44"/>
        <v>2.8995512395401598E-2</v>
      </c>
    </row>
    <row r="115" spans="1:24" x14ac:dyDescent="0.2">
      <c r="A115" s="20">
        <v>42300.916666666664</v>
      </c>
      <c r="B115">
        <v>26.19</v>
      </c>
      <c r="C115" s="17">
        <v>35.829000000000001</v>
      </c>
      <c r="D115">
        <v>2350.8200000000002</v>
      </c>
      <c r="E115" s="18">
        <f t="shared" si="40"/>
        <v>2322.6723603784644</v>
      </c>
      <c r="G115" s="17">
        <v>2043.855</v>
      </c>
      <c r="H115" s="18">
        <f t="shared" si="41"/>
        <v>2019.3828183873397</v>
      </c>
      <c r="I115" s="12">
        <v>2012.7080078125</v>
      </c>
      <c r="J115" s="31">
        <v>11.784333322789001</v>
      </c>
      <c r="K115" s="31">
        <v>10.942868458633246</v>
      </c>
      <c r="M115" s="15">
        <v>8.0212059020996094</v>
      </c>
      <c r="O115" s="17">
        <v>185.6</v>
      </c>
      <c r="P115" s="18">
        <f t="shared" si="39"/>
        <v>183.37771079293307</v>
      </c>
      <c r="Q115" s="17">
        <v>201.27266108536401</v>
      </c>
      <c r="R115" s="17">
        <f t="shared" si="42"/>
        <v>196.36357179059905</v>
      </c>
      <c r="S115" s="17"/>
      <c r="T115" s="17">
        <v>4.4703999999999997</v>
      </c>
      <c r="U115" s="17">
        <f>'All Experimental Diel Data'!U43</f>
        <v>420.24026735549762</v>
      </c>
      <c r="V115">
        <f t="shared" si="43"/>
        <v>6.2862207243451346E-2</v>
      </c>
      <c r="W115" s="17">
        <f>'All Experimental Diel Data'!W43</f>
        <v>493.66320901440992</v>
      </c>
      <c r="X115">
        <f t="shared" si="44"/>
        <v>5.7999343414252634E-2</v>
      </c>
    </row>
    <row r="116" spans="1:24" x14ac:dyDescent="0.2">
      <c r="A116" s="20">
        <v>42301.00277777778</v>
      </c>
      <c r="B116">
        <v>26.13</v>
      </c>
      <c r="C116" s="17">
        <v>35.717399999999998</v>
      </c>
      <c r="D116">
        <v>2348.9699999999998</v>
      </c>
      <c r="E116" s="18">
        <f t="shared" si="40"/>
        <v>2328.096054024089</v>
      </c>
      <c r="G116" s="17">
        <v>2039.155</v>
      </c>
      <c r="H116" s="18">
        <f t="shared" si="41"/>
        <v>2021.0342018176016</v>
      </c>
      <c r="I116" s="12">
        <v>2013.8548583984375</v>
      </c>
      <c r="J116" s="31">
        <v>11.571991728154826</v>
      </c>
      <c r="K116" s="31">
        <v>10.965349152871045</v>
      </c>
      <c r="M116" s="15">
        <v>8.0284481048583984</v>
      </c>
      <c r="O116" s="17">
        <v>183.13</v>
      </c>
      <c r="P116" s="18">
        <f t="shared" si="39"/>
        <v>181.50262897075376</v>
      </c>
      <c r="Q116" s="17">
        <v>201.61498321372699</v>
      </c>
      <c r="R116" s="17">
        <f t="shared" si="42"/>
        <v>196.69754459875804</v>
      </c>
      <c r="S116" s="17"/>
      <c r="T116" s="17">
        <v>4.0233600000000003</v>
      </c>
      <c r="U116" s="17">
        <f>'All Experimental Diel Data'!U44</f>
        <v>421.46011393646438</v>
      </c>
      <c r="V116">
        <f t="shared" si="43"/>
        <v>5.0844647045551285E-2</v>
      </c>
      <c r="W116" s="17">
        <f>'All Experimental Diel Data'!W44</f>
        <v>495.09765820778307</v>
      </c>
      <c r="X116">
        <f t="shared" si="44"/>
        <v>4.6911361861620128E-2</v>
      </c>
    </row>
    <row r="117" spans="1:24" x14ac:dyDescent="0.2">
      <c r="A117" s="20">
        <v>42301.086111111108</v>
      </c>
      <c r="B117">
        <v>26.11</v>
      </c>
      <c r="C117" s="17">
        <v>35.916499999999999</v>
      </c>
      <c r="D117">
        <v>2360.96</v>
      </c>
      <c r="E117" s="18">
        <f t="shared" si="40"/>
        <v>2327.0080325198728</v>
      </c>
      <c r="G117" s="17">
        <v>2065.23</v>
      </c>
      <c r="H117" s="18">
        <f t="shared" si="41"/>
        <v>2035.5308006069633</v>
      </c>
      <c r="I117" s="12">
        <v>2012.89404296875</v>
      </c>
      <c r="J117" s="31">
        <v>12.542299624690012</v>
      </c>
      <c r="K117" s="31">
        <v>10.959507289281166</v>
      </c>
      <c r="M117" s="15">
        <v>8.0010442733764648</v>
      </c>
      <c r="O117" s="17">
        <v>179.91</v>
      </c>
      <c r="P117" s="18">
        <f t="shared" si="39"/>
        <v>177.32279036097614</v>
      </c>
      <c r="Q117" s="17">
        <v>201.42498342744699</v>
      </c>
      <c r="R117" s="17">
        <f t="shared" si="42"/>
        <v>196.51217895360685</v>
      </c>
      <c r="S117" s="17"/>
      <c r="T117" s="17">
        <v>2.6822400000000002</v>
      </c>
      <c r="U117" s="17">
        <f>'All Experimental Diel Data'!U45</f>
        <v>421.86749443090378</v>
      </c>
      <c r="V117">
        <f t="shared" si="43"/>
        <v>2.2586707466406706E-2</v>
      </c>
      <c r="W117" s="17">
        <f>'All Experimental Diel Data'!W45</f>
        <v>495.57675809952781</v>
      </c>
      <c r="X117">
        <f t="shared" si="44"/>
        <v>2.0839413577218937E-2</v>
      </c>
    </row>
    <row r="118" spans="1:24" x14ac:dyDescent="0.2">
      <c r="A118" s="20">
        <v>42301.166666666664</v>
      </c>
      <c r="B118">
        <v>26.05</v>
      </c>
      <c r="C118" s="17">
        <v>35.9938</v>
      </c>
      <c r="D118">
        <v>2361.85</v>
      </c>
      <c r="E118" s="18">
        <f t="shared" si="40"/>
        <v>2322.8858859025718</v>
      </c>
      <c r="G118" s="17">
        <v>2065.37</v>
      </c>
      <c r="H118" s="18">
        <f t="shared" si="41"/>
        <v>2031.297001150198</v>
      </c>
      <c r="I118" s="12">
        <v>2012.9676513671875</v>
      </c>
      <c r="J118" s="31">
        <v>12.51638159071992</v>
      </c>
      <c r="K118" s="31">
        <v>10.971360214131771</v>
      </c>
      <c r="M118" s="15">
        <v>8.0021133422851562</v>
      </c>
      <c r="O118" s="17">
        <v>180.34</v>
      </c>
      <c r="P118" s="18">
        <f t="shared" si="39"/>
        <v>177.36487950702622</v>
      </c>
      <c r="Q118" s="17">
        <v>201.524403167093</v>
      </c>
      <c r="R118" s="17">
        <f t="shared" si="42"/>
        <v>196.60917382155415</v>
      </c>
      <c r="S118" s="17"/>
      <c r="T118" s="17">
        <v>2.45872</v>
      </c>
      <c r="U118" s="17">
        <f>'All Experimental Diel Data'!U46</f>
        <v>423.09193849021091</v>
      </c>
      <c r="V118">
        <f t="shared" si="43"/>
        <v>1.8951625330133771E-2</v>
      </c>
      <c r="W118" s="17">
        <f>'All Experimental Diel Data'!W46</f>
        <v>497.01691724284689</v>
      </c>
      <c r="X118">
        <f t="shared" si="44"/>
        <v>1.7485507888413323E-2</v>
      </c>
    </row>
    <row r="119" spans="1:24" x14ac:dyDescent="0.2">
      <c r="A119" s="20">
        <v>42301.25</v>
      </c>
      <c r="B119">
        <v>25.95</v>
      </c>
      <c r="C119" s="17">
        <v>36.057200000000002</v>
      </c>
      <c r="D119">
        <v>2370.13</v>
      </c>
      <c r="E119" s="18">
        <f t="shared" si="40"/>
        <v>2326.9305991591141</v>
      </c>
      <c r="G119" s="17">
        <v>2073.7950000000001</v>
      </c>
      <c r="H119" s="18">
        <f t="shared" si="41"/>
        <v>2035.9967773426665</v>
      </c>
      <c r="I119" s="12">
        <v>2013.462158203125</v>
      </c>
      <c r="J119" s="31">
        <v>12.612188097905261</v>
      </c>
      <c r="K119" s="31">
        <v>10.994884949620376</v>
      </c>
      <c r="M119" s="15">
        <v>8.0013408660888672</v>
      </c>
      <c r="O119" s="17">
        <v>179.62</v>
      </c>
      <c r="P119" s="18">
        <f t="shared" si="39"/>
        <v>176.3461389126166</v>
      </c>
      <c r="Q119" s="17">
        <v>201.77487035789301</v>
      </c>
      <c r="R119" s="17">
        <f t="shared" si="42"/>
        <v>196.85353205648099</v>
      </c>
      <c r="S119" s="17"/>
      <c r="T119" s="17">
        <v>3.1292800000000001</v>
      </c>
      <c r="U119" s="17">
        <f>'All Experimental Diel Data'!U47</f>
        <v>425.14038737751071</v>
      </c>
      <c r="V119">
        <f t="shared" si="43"/>
        <v>3.0624454122267802E-2</v>
      </c>
      <c r="W119" s="17">
        <f>'All Experimental Diel Data'!W47</f>
        <v>499.42675307659658</v>
      </c>
      <c r="X119">
        <f t="shared" si="44"/>
        <v>2.8255216333297226E-2</v>
      </c>
    </row>
    <row r="120" spans="1:24" x14ac:dyDescent="0.2">
      <c r="A120" s="20">
        <v>42301.354166666664</v>
      </c>
      <c r="B120">
        <v>26.48</v>
      </c>
      <c r="C120" s="17">
        <v>36.111400000000003</v>
      </c>
      <c r="D120">
        <v>2355.0100000000002</v>
      </c>
      <c r="E120" s="18">
        <f t="shared" si="40"/>
        <v>2308.6159495339421</v>
      </c>
      <c r="G120" s="17">
        <v>2043.7649999999999</v>
      </c>
      <c r="H120" s="18">
        <f t="shared" si="41"/>
        <v>2003.5025227490482</v>
      </c>
      <c r="I120" s="12">
        <v>2008.6134033203125</v>
      </c>
      <c r="J120" s="31">
        <v>11.713310851648677</v>
      </c>
      <c r="K120" s="31">
        <v>10.849521390201687</v>
      </c>
      <c r="M120" s="15">
        <v>8.0198726654052734</v>
      </c>
      <c r="O120" s="17">
        <v>201.52</v>
      </c>
      <c r="P120" s="18">
        <f t="shared" si="39"/>
        <v>197.55002575364011</v>
      </c>
      <c r="Q120" s="17">
        <v>199.95768591237001</v>
      </c>
      <c r="R120" s="17">
        <f t="shared" si="42"/>
        <v>195.08066918280002</v>
      </c>
      <c r="S120" s="17"/>
      <c r="T120" s="17">
        <v>3.5763199999999999</v>
      </c>
      <c r="U120" s="17">
        <f>'All Experimental Diel Data'!U48</f>
        <v>414.39245613493057</v>
      </c>
      <c r="V120">
        <f t="shared" si="43"/>
        <v>4.051468921216031E-2</v>
      </c>
      <c r="W120" s="17">
        <f>'All Experimental Diel Data'!W48</f>
        <v>486.7898237287626</v>
      </c>
      <c r="X120">
        <f t="shared" si="44"/>
        <v>3.7380722110870665E-2</v>
      </c>
    </row>
    <row r="122" spans="1:24" x14ac:dyDescent="0.2">
      <c r="A122" t="s">
        <v>99</v>
      </c>
      <c r="B122" t="s">
        <v>148</v>
      </c>
      <c r="C122" t="s">
        <v>149</v>
      </c>
      <c r="D122" t="s">
        <v>150</v>
      </c>
    </row>
    <row r="123" spans="1:24" x14ac:dyDescent="0.2">
      <c r="A123" t="s">
        <v>198</v>
      </c>
      <c r="B123">
        <f>SLOPE(P108:P110,A108:A110)*(1/24)</f>
        <v>8.9420921878015669</v>
      </c>
      <c r="C123">
        <f>SLOPE(H108:H110,A108:A110)*(1/24)</f>
        <v>-13.137272581968869</v>
      </c>
      <c r="D123">
        <f>SLOPE(E108:E110,A108:A110)*(1/24)</f>
        <v>-2.2217126769361193</v>
      </c>
    </row>
    <row r="124" spans="1:24" x14ac:dyDescent="0.2">
      <c r="A124" t="s">
        <v>199</v>
      </c>
      <c r="B124">
        <f>SLOPE(P111:P114,A111:A114)*(1/24)</f>
        <v>-2.9519513308001297</v>
      </c>
      <c r="C124">
        <f>SLOPE(H111:H114,A111:A114)*(1/24)</f>
        <v>1.4834407870266531</v>
      </c>
      <c r="D124">
        <f>SLOPE(E111:E114,A111:A114)*(1/24)</f>
        <v>9.443121946065941E-2</v>
      </c>
    </row>
    <row r="125" spans="1:24" x14ac:dyDescent="0.2">
      <c r="A125" t="s">
        <v>200</v>
      </c>
      <c r="B125">
        <f>SLOPE(P115:P119,A115:A119)*(1/24)</f>
        <v>-0.9152580808187436</v>
      </c>
      <c r="C125">
        <f>SLOPE(H115:H119,A115:A119)*(1/24)</f>
        <v>2.1876088444357911</v>
      </c>
      <c r="D125">
        <f>SLOPE(E115:E119,A115:A119)*(1/24)</f>
        <v>0.17322540086632082</v>
      </c>
    </row>
    <row r="127" spans="1:24" x14ac:dyDescent="0.2">
      <c r="A127" s="33" t="s">
        <v>155</v>
      </c>
      <c r="B127" s="34">
        <v>400</v>
      </c>
      <c r="C127" s="35"/>
      <c r="D127" s="35"/>
      <c r="E127" s="35"/>
      <c r="F127" s="35"/>
      <c r="G127" s="35"/>
      <c r="H127" s="35"/>
      <c r="I127" s="35"/>
      <c r="J127" s="35"/>
      <c r="K127" s="35"/>
      <c r="L127" s="35"/>
      <c r="M127" s="35"/>
      <c r="N127" s="35"/>
      <c r="O127" s="35"/>
      <c r="P127" s="35"/>
      <c r="Q127" s="35"/>
      <c r="R127" s="35"/>
    </row>
    <row r="128" spans="1:24" x14ac:dyDescent="0.2">
      <c r="A128" s="33" t="s">
        <v>156</v>
      </c>
      <c r="B128" s="34">
        <v>2.75</v>
      </c>
      <c r="C128" s="35"/>
      <c r="D128" s="35"/>
      <c r="E128" s="35"/>
      <c r="F128" s="35"/>
      <c r="G128" s="35"/>
      <c r="H128" s="35"/>
      <c r="I128" s="35"/>
      <c r="J128" s="35"/>
      <c r="K128" s="35"/>
      <c r="L128" s="35"/>
      <c r="M128" s="35"/>
      <c r="N128" s="35"/>
      <c r="O128" s="35"/>
      <c r="P128" s="35"/>
      <c r="Q128" s="35"/>
      <c r="R128" s="35"/>
    </row>
    <row r="129" spans="1:21" x14ac:dyDescent="0.2">
      <c r="A129" s="33" t="s">
        <v>157</v>
      </c>
      <c r="B129" s="34">
        <v>1</v>
      </c>
      <c r="C129" s="35"/>
      <c r="D129" s="35"/>
      <c r="E129" s="35"/>
      <c r="F129" s="35"/>
      <c r="G129" s="35"/>
      <c r="H129" s="35"/>
      <c r="I129" s="35"/>
      <c r="J129" s="35"/>
      <c r="K129" s="35"/>
      <c r="L129" s="35"/>
      <c r="M129" s="35"/>
      <c r="N129" s="35"/>
      <c r="O129" s="35"/>
      <c r="P129" s="35"/>
      <c r="Q129" s="35"/>
      <c r="R129" s="35"/>
    </row>
    <row r="130" spans="1:21" x14ac:dyDescent="0.2">
      <c r="A130" s="33" t="s">
        <v>158</v>
      </c>
      <c r="B130" s="34">
        <v>1.0249999999999999</v>
      </c>
      <c r="C130" s="35"/>
      <c r="D130" s="35"/>
      <c r="E130" s="35"/>
      <c r="F130" s="35"/>
      <c r="G130" s="35"/>
      <c r="H130" s="35"/>
      <c r="I130" s="35"/>
      <c r="J130" s="35"/>
      <c r="K130" s="35"/>
      <c r="L130" s="35"/>
      <c r="M130" s="35"/>
      <c r="N130" s="35"/>
      <c r="O130" s="35"/>
      <c r="P130" s="35"/>
      <c r="Q130" s="35"/>
      <c r="R130" s="35"/>
    </row>
    <row r="131" spans="1:21" x14ac:dyDescent="0.2">
      <c r="A131" s="33" t="s">
        <v>159</v>
      </c>
      <c r="B131" s="34">
        <v>1978</v>
      </c>
      <c r="C131" s="35"/>
      <c r="D131" s="35"/>
      <c r="E131" s="35"/>
      <c r="F131" s="35"/>
      <c r="G131" s="35"/>
      <c r="H131" s="35"/>
      <c r="I131" s="35"/>
      <c r="J131" s="35"/>
      <c r="K131" s="35"/>
      <c r="L131" s="35"/>
      <c r="M131" s="35"/>
      <c r="N131" s="35"/>
      <c r="O131" s="35"/>
      <c r="P131" s="35"/>
      <c r="Q131" s="35"/>
      <c r="R131" s="35"/>
    </row>
    <row r="132" spans="1:21" x14ac:dyDescent="0.2">
      <c r="A132" s="33" t="s">
        <v>160</v>
      </c>
      <c r="B132" s="34">
        <v>2332</v>
      </c>
      <c r="C132" s="35"/>
      <c r="D132" s="35"/>
      <c r="E132" s="35"/>
      <c r="F132" s="35"/>
      <c r="G132" s="35"/>
      <c r="H132" s="35"/>
      <c r="I132" s="35"/>
      <c r="J132" s="35"/>
      <c r="K132" s="35"/>
      <c r="L132" s="35"/>
      <c r="M132" s="35"/>
      <c r="N132" s="35"/>
      <c r="O132" s="35"/>
      <c r="P132" s="35"/>
      <c r="Q132" s="35"/>
      <c r="R132" s="35"/>
    </row>
    <row r="133" spans="1:21" x14ac:dyDescent="0.2">
      <c r="A133" s="33" t="s">
        <v>161</v>
      </c>
      <c r="B133" s="34">
        <v>197</v>
      </c>
      <c r="C133" s="35"/>
      <c r="D133" s="35"/>
      <c r="E133" s="35"/>
      <c r="F133" s="35"/>
      <c r="G133" s="35"/>
      <c r="H133" s="35"/>
      <c r="I133" s="35"/>
      <c r="J133" s="35"/>
      <c r="K133" s="35"/>
      <c r="L133" s="35"/>
      <c r="M133" s="35"/>
      <c r="N133" s="35"/>
      <c r="O133" s="35"/>
      <c r="P133" s="35"/>
      <c r="Q133" s="35"/>
      <c r="R133" s="35"/>
    </row>
    <row r="134" spans="1:21" x14ac:dyDescent="0.2">
      <c r="A134" s="35"/>
      <c r="B134" s="35"/>
      <c r="C134" s="35"/>
      <c r="D134" s="35"/>
      <c r="E134" s="35"/>
      <c r="F134" s="35"/>
      <c r="G134" s="35"/>
      <c r="H134" s="35"/>
      <c r="I134" s="35"/>
      <c r="J134" s="35"/>
      <c r="K134" s="35"/>
      <c r="L134" s="35"/>
      <c r="M134" s="35"/>
      <c r="N134" s="35"/>
      <c r="O134" s="35"/>
      <c r="P134" s="35"/>
      <c r="Q134" s="35"/>
      <c r="R134" s="35"/>
    </row>
    <row r="135" spans="1:21" x14ac:dyDescent="0.2">
      <c r="A135" s="36" t="s">
        <v>162</v>
      </c>
      <c r="B135" s="35"/>
      <c r="C135" s="35"/>
      <c r="D135" s="35"/>
      <c r="E135" s="35"/>
      <c r="F135" s="35"/>
      <c r="G135" s="35"/>
      <c r="H135" s="35"/>
      <c r="I135" s="35"/>
      <c r="J135" s="35"/>
      <c r="K135" s="35"/>
      <c r="L135" s="35"/>
      <c r="M135" s="35"/>
      <c r="N135" s="35"/>
      <c r="O135" s="35"/>
      <c r="P135" s="35"/>
      <c r="Q135" s="35"/>
      <c r="R135" s="35"/>
    </row>
    <row r="136" spans="1:21" x14ac:dyDescent="0.2">
      <c r="A136" s="35" t="s">
        <v>163</v>
      </c>
      <c r="B136" s="35" t="s">
        <v>71</v>
      </c>
      <c r="C136" s="35" t="s">
        <v>164</v>
      </c>
      <c r="D136" s="35" t="s">
        <v>165</v>
      </c>
      <c r="E136" s="35" t="s">
        <v>166</v>
      </c>
      <c r="F136" t="s">
        <v>315</v>
      </c>
      <c r="G136" s="35" t="s">
        <v>167</v>
      </c>
      <c r="H136" s="35"/>
      <c r="I136" s="35" t="s">
        <v>168</v>
      </c>
      <c r="J136" s="35" t="s">
        <v>169</v>
      </c>
      <c r="K136" s="35"/>
      <c r="L136" s="35" t="s">
        <v>171</v>
      </c>
      <c r="M136" s="35" t="s">
        <v>172</v>
      </c>
      <c r="N136" s="35" t="s">
        <v>173</v>
      </c>
      <c r="O136" t="s">
        <v>315</v>
      </c>
      <c r="P136" s="35" t="s">
        <v>170</v>
      </c>
      <c r="Q136" s="35" t="s">
        <v>174</v>
      </c>
      <c r="R136" t="s">
        <v>315</v>
      </c>
      <c r="S136" s="35" t="s">
        <v>175</v>
      </c>
      <c r="T136" s="35"/>
      <c r="U136" s="35" t="s">
        <v>176</v>
      </c>
    </row>
    <row r="137" spans="1:21" x14ac:dyDescent="0.2">
      <c r="A137" s="35" t="s">
        <v>201</v>
      </c>
      <c r="B137" s="37">
        <v>42300.100694444445</v>
      </c>
      <c r="C137" s="35" t="s">
        <v>195</v>
      </c>
      <c r="D137" s="35" t="s">
        <v>195</v>
      </c>
      <c r="E137" s="35" t="s">
        <v>195</v>
      </c>
      <c r="F137" s="35" t="s">
        <v>195</v>
      </c>
      <c r="G137" s="35" t="s">
        <v>195</v>
      </c>
      <c r="H137" s="38"/>
      <c r="I137" s="35" t="s">
        <v>195</v>
      </c>
      <c r="J137" s="35" t="s">
        <v>195</v>
      </c>
      <c r="K137" s="38"/>
      <c r="L137" s="35" t="s">
        <v>195</v>
      </c>
      <c r="M137" s="35" t="s">
        <v>195</v>
      </c>
      <c r="N137" s="35" t="s">
        <v>195</v>
      </c>
      <c r="O137" s="35" t="s">
        <v>195</v>
      </c>
      <c r="P137" s="35" t="s">
        <v>195</v>
      </c>
      <c r="Q137" s="35" t="s">
        <v>195</v>
      </c>
      <c r="R137" t="s">
        <v>195</v>
      </c>
      <c r="S137" s="35" t="s">
        <v>195</v>
      </c>
      <c r="T137" s="38"/>
      <c r="U137" s="35" t="s">
        <v>195</v>
      </c>
    </row>
    <row r="138" spans="1:21" x14ac:dyDescent="0.2">
      <c r="A138" s="35" t="s">
        <v>202</v>
      </c>
      <c r="B138" s="37">
        <v>42300.260416666664</v>
      </c>
      <c r="C138">
        <f>(V108/$B$129)*(R108-O108)</f>
        <v>0.66166557608955578</v>
      </c>
      <c r="D138">
        <f>(1/$B$128)*$B$133-(1/$B$128)*P108</f>
        <v>4.9450826659975888</v>
      </c>
      <c r="E138" s="17">
        <f>($B$123)-(D138+C138)</f>
        <v>3.3353439457144223</v>
      </c>
      <c r="F138">
        <f>E138/1000*1025</f>
        <v>3.4187275443572829</v>
      </c>
      <c r="G138" s="17">
        <f>24*($B139-$B138)*F138</f>
        <v>5.9827732030232372</v>
      </c>
      <c r="H138" s="38"/>
      <c r="I138">
        <f>(1/$B$128)*$B$132-(1/$B$128)*E108</f>
        <v>0.88474326314167229</v>
      </c>
      <c r="J138">
        <f>$D$123-I138</f>
        <v>-3.1064559400777916</v>
      </c>
      <c r="K138" s="38"/>
      <c r="L138">
        <f>(X108/$B$129)*(K108-J108)</f>
        <v>-8.9297038055760475E-3</v>
      </c>
      <c r="M138">
        <f t="shared" ref="M138:M150" si="45">(1/$B$128)*$B$131-(1/$B$128)*H108</f>
        <v>-11.202205935037114</v>
      </c>
      <c r="N138" s="38">
        <f>J138/2</f>
        <v>-1.5532279700388958</v>
      </c>
      <c r="O138">
        <f>N138/1000*1025</f>
        <v>-1.5920586692898682</v>
      </c>
      <c r="P138" s="17">
        <f>24*($B139-$B138)*O138</f>
        <v>-2.7861026714426091</v>
      </c>
      <c r="Q138" s="17">
        <f>($C$123)-(N138+M138+L138)</f>
        <v>-0.37290897308728432</v>
      </c>
      <c r="R138">
        <f t="shared" ref="R138:R150" si="46">Q138/1000*1025</f>
        <v>-0.38223169741446644</v>
      </c>
      <c r="S138" s="17">
        <f>24*($B139-$B138)*R138</f>
        <v>-0.66890547051981386</v>
      </c>
      <c r="T138" s="38"/>
      <c r="U138">
        <f>F138/R138</f>
        <v>-8.9441235969769508</v>
      </c>
    </row>
    <row r="139" spans="1:21" x14ac:dyDescent="0.2">
      <c r="A139" s="35" t="s">
        <v>203</v>
      </c>
      <c r="B139" s="37">
        <v>42300.333333333336</v>
      </c>
      <c r="C139">
        <f t="shared" ref="C139:C150" si="47">(V109/$B$129)*(R109-O109)</f>
        <v>-0.37894031846426607</v>
      </c>
      <c r="D139">
        <f t="shared" ref="D139:D150" si="48">(1/$B$128)*$B$133-(1/$B$128)*P109</f>
        <v>0.23268217016868675</v>
      </c>
      <c r="E139" s="17">
        <f>($B$123)-(D139+C139)</f>
        <v>9.0883503360971467</v>
      </c>
      <c r="F139">
        <f t="shared" ref="F139:F150" si="49">E139/1000*1025</f>
        <v>9.3155590944995748</v>
      </c>
      <c r="G139" s="17">
        <f t="shared" ref="G139:G149" si="50">24*($B140-$B139)*F139</f>
        <v>18.631118187914677</v>
      </c>
      <c r="H139" s="38"/>
      <c r="I139">
        <f t="shared" ref="I139:I150" si="51">(1/$B$128)*$B$132-(1/$B$128)*E109</f>
        <v>-0.81477651471197987</v>
      </c>
      <c r="J139">
        <f>$D$123-I139</f>
        <v>-1.4069361622241394</v>
      </c>
      <c r="K139" s="38"/>
      <c r="L139">
        <f t="shared" ref="L139:L150" si="52">(X109/$B$129)*(K109-J109)</f>
        <v>3.5486515924396653E-2</v>
      </c>
      <c r="M139">
        <f t="shared" si="45"/>
        <v>-5.7249135860905653</v>
      </c>
      <c r="N139" s="38">
        <f t="shared" ref="N139:N150" si="53">J139/2</f>
        <v>-0.70346808111206971</v>
      </c>
      <c r="O139">
        <f t="shared" ref="O139:O150" si="54">N139/1000*1025</f>
        <v>-0.72105478313987148</v>
      </c>
      <c r="P139" s="17">
        <f t="shared" ref="P139:P149" si="55">24*($B140-$B139)*O139</f>
        <v>-1.4421095661958012</v>
      </c>
      <c r="Q139" s="17">
        <f>($C$123)-(N139+M139+L139)</f>
        <v>-6.7443774306906299</v>
      </c>
      <c r="R139">
        <f t="shared" si="46"/>
        <v>-6.9129868664578957</v>
      </c>
      <c r="S139" s="17">
        <f t="shared" ref="S139:S149" si="56">24*($B140-$B139)*R139</f>
        <v>-13.825973732111013</v>
      </c>
      <c r="T139" s="38"/>
      <c r="U139">
        <f t="shared" ref="U139:U150" si="57">F139/R139</f>
        <v>-1.3475447407110031</v>
      </c>
    </row>
    <row r="140" spans="1:21" x14ac:dyDescent="0.2">
      <c r="A140" s="35" t="s">
        <v>204</v>
      </c>
      <c r="B140" s="37">
        <v>42300.416666666664</v>
      </c>
      <c r="C140">
        <f t="shared" si="47"/>
        <v>-1.1911980634925696</v>
      </c>
      <c r="D140">
        <f t="shared" si="48"/>
        <v>-7.2061567211039375</v>
      </c>
      <c r="E140" s="17">
        <f>($B$123)-(D140+C140)</f>
        <v>17.339446972398072</v>
      </c>
      <c r="F140">
        <f t="shared" si="49"/>
        <v>17.772933146708024</v>
      </c>
      <c r="G140" s="17">
        <f t="shared" si="50"/>
        <v>35.545866294450569</v>
      </c>
      <c r="H140" s="38"/>
      <c r="I140">
        <f t="shared" si="51"/>
        <v>3.7789889836087696</v>
      </c>
      <c r="J140">
        <f>$D$123-I140</f>
        <v>-6.0007016605448893</v>
      </c>
      <c r="K140" s="38"/>
      <c r="L140">
        <f t="shared" si="52"/>
        <v>5.2833332753224667E-2</v>
      </c>
      <c r="M140">
        <f t="shared" si="45"/>
        <v>6.5869179723409843</v>
      </c>
      <c r="N140" s="38">
        <f t="shared" si="53"/>
        <v>-3.0003508302724446</v>
      </c>
      <c r="O140">
        <f t="shared" si="54"/>
        <v>-3.0753596010292559</v>
      </c>
      <c r="P140" s="17">
        <f t="shared" si="55"/>
        <v>-6.1507192022375214</v>
      </c>
      <c r="Q140" s="17">
        <f>($C$123)-(N140+M140+L140)</f>
        <v>-16.776673056790635</v>
      </c>
      <c r="R140">
        <f t="shared" si="46"/>
        <v>-17.196089883210398</v>
      </c>
      <c r="S140" s="17">
        <f t="shared" si="56"/>
        <v>-34.392179767421737</v>
      </c>
      <c r="T140" s="38"/>
      <c r="U140">
        <f t="shared" si="57"/>
        <v>-1.0335450249106242</v>
      </c>
    </row>
    <row r="141" spans="1:21" x14ac:dyDescent="0.2">
      <c r="A141" s="35" t="s">
        <v>205</v>
      </c>
      <c r="B141" s="37">
        <v>42300.5</v>
      </c>
      <c r="C141">
        <f t="shared" si="47"/>
        <v>-1.2023259261608648</v>
      </c>
      <c r="D141">
        <f t="shared" si="48"/>
        <v>-9.859015676926191</v>
      </c>
      <c r="E141">
        <f>($B$124)-(D141+C141)</f>
        <v>8.1093902722869267</v>
      </c>
      <c r="F141">
        <f t="shared" si="49"/>
        <v>8.3121250290940996</v>
      </c>
      <c r="G141" s="17">
        <f t="shared" si="50"/>
        <v>16.624250058672029</v>
      </c>
      <c r="H141" s="38"/>
      <c r="I141">
        <f t="shared" si="51"/>
        <v>14.258733336515206</v>
      </c>
      <c r="J141">
        <f>$D$124-I141</f>
        <v>-14.164302117054547</v>
      </c>
      <c r="K141" s="38"/>
      <c r="L141">
        <f t="shared" si="52"/>
        <v>3.374181619248029E-2</v>
      </c>
      <c r="M141">
        <f t="shared" si="45"/>
        <v>14.246284234402879</v>
      </c>
      <c r="N141" s="38">
        <f t="shared" si="53"/>
        <v>-7.0821510585272733</v>
      </c>
      <c r="O141">
        <f t="shared" si="54"/>
        <v>-7.259204834990455</v>
      </c>
      <c r="P141" s="17">
        <f t="shared" si="55"/>
        <v>-14.518409670403452</v>
      </c>
      <c r="Q141" s="17">
        <f>($C$124)-(N141+M141+L141)</f>
        <v>-5.7144342050414316</v>
      </c>
      <c r="R141">
        <f t="shared" si="46"/>
        <v>-5.8572950601674671</v>
      </c>
      <c r="S141" s="17">
        <f t="shared" si="56"/>
        <v>-11.714590120675874</v>
      </c>
      <c r="T141" s="38"/>
      <c r="U141">
        <f t="shared" si="57"/>
        <v>-1.4191064209178572</v>
      </c>
    </row>
    <row r="142" spans="1:21" x14ac:dyDescent="0.2">
      <c r="A142" s="35" t="s">
        <v>206</v>
      </c>
      <c r="B142" s="37">
        <v>42300.583333333336</v>
      </c>
      <c r="C142">
        <f t="shared" si="47"/>
        <v>-0.97503799882065889</v>
      </c>
      <c r="D142">
        <f t="shared" si="48"/>
        <v>-8.9649268962800335</v>
      </c>
      <c r="E142">
        <f>($B$124)-(D142+C142)</f>
        <v>6.9880135643005623</v>
      </c>
      <c r="F142">
        <f t="shared" si="49"/>
        <v>7.1627139034080765</v>
      </c>
      <c r="G142" s="17">
        <f t="shared" si="50"/>
        <v>14.325427805982303</v>
      </c>
      <c r="H142" s="38"/>
      <c r="I142">
        <f t="shared" si="51"/>
        <v>6.9603785776808991</v>
      </c>
      <c r="J142">
        <f>$D$124-I142</f>
        <v>-6.8659473582202395</v>
      </c>
      <c r="K142" s="38"/>
      <c r="L142">
        <f t="shared" si="52"/>
        <v>4.0636006039252701E-2</v>
      </c>
      <c r="M142">
        <f t="shared" si="45"/>
        <v>12.795674374153919</v>
      </c>
      <c r="N142" s="38">
        <f t="shared" si="53"/>
        <v>-3.4329736791101197</v>
      </c>
      <c r="O142">
        <f t="shared" si="54"/>
        <v>-3.5187980210878731</v>
      </c>
      <c r="P142" s="17">
        <f t="shared" si="55"/>
        <v>-7.0375960417661041</v>
      </c>
      <c r="Q142" s="17">
        <f>($C$124)-(N142+M142+L142)</f>
        <v>-7.9198959140563971</v>
      </c>
      <c r="R142">
        <f t="shared" si="46"/>
        <v>-8.1178933119078085</v>
      </c>
      <c r="S142" s="17">
        <f t="shared" si="56"/>
        <v>-16.23578662287057</v>
      </c>
      <c r="T142" s="38"/>
      <c r="U142">
        <f t="shared" si="57"/>
        <v>-0.88233654079949309</v>
      </c>
    </row>
    <row r="143" spans="1:21" x14ac:dyDescent="0.2">
      <c r="A143" s="35" t="s">
        <v>207</v>
      </c>
      <c r="B143" s="37">
        <v>42300.666666666664</v>
      </c>
      <c r="C143">
        <f t="shared" si="47"/>
        <v>-0.8164735586548254</v>
      </c>
      <c r="D143">
        <f t="shared" si="48"/>
        <v>-7.2920859840217673</v>
      </c>
      <c r="E143">
        <f>($B$124)-(D143+C143)</f>
        <v>5.1566082118764633</v>
      </c>
      <c r="F143">
        <f t="shared" si="49"/>
        <v>5.2855234171733754</v>
      </c>
      <c r="G143" s="17">
        <f t="shared" si="50"/>
        <v>9.2496659806687234</v>
      </c>
      <c r="H143" s="38"/>
      <c r="I143">
        <f t="shared" si="51"/>
        <v>12.451639638644338</v>
      </c>
      <c r="J143">
        <f>$D$124-I143</f>
        <v>-12.357208419183678</v>
      </c>
      <c r="K143" s="38"/>
      <c r="L143">
        <f t="shared" si="52"/>
        <v>3.4573294391267918E-2</v>
      </c>
      <c r="M143">
        <f t="shared" si="45"/>
        <v>14.021744644835053</v>
      </c>
      <c r="N143" s="38">
        <f t="shared" si="53"/>
        <v>-6.178604209591839</v>
      </c>
      <c r="O143">
        <f t="shared" si="54"/>
        <v>-6.3330693148316355</v>
      </c>
      <c r="P143" s="17">
        <f t="shared" si="55"/>
        <v>-11.082871301692629</v>
      </c>
      <c r="Q143" s="17">
        <f>($C$124)-(N143+M143+L143)</f>
        <v>-6.3942729426078291</v>
      </c>
      <c r="R143">
        <f t="shared" si="46"/>
        <v>-6.5541297661730242</v>
      </c>
      <c r="S143" s="17">
        <f t="shared" si="56"/>
        <v>-11.469727091565794</v>
      </c>
      <c r="T143" s="38"/>
      <c r="U143">
        <f t="shared" si="57"/>
        <v>-0.80644167963424507</v>
      </c>
    </row>
    <row r="144" spans="1:21" x14ac:dyDescent="0.2">
      <c r="A144" s="35" t="s">
        <v>208</v>
      </c>
      <c r="B144" s="37">
        <v>42300.739583333336</v>
      </c>
      <c r="C144">
        <f t="shared" si="47"/>
        <v>-0.55745602819511875</v>
      </c>
      <c r="D144">
        <f t="shared" si="48"/>
        <v>-3.45199542260724</v>
      </c>
      <c r="E144">
        <f>($B$124)-(D144+C144)</f>
        <v>1.0575001200022287</v>
      </c>
      <c r="F144">
        <f t="shared" si="49"/>
        <v>1.0839376230022844</v>
      </c>
      <c r="G144" s="17">
        <f t="shared" si="50"/>
        <v>4.6067348976335216</v>
      </c>
      <c r="H144" s="38"/>
      <c r="I144">
        <f t="shared" si="51"/>
        <v>12.282184101852522</v>
      </c>
      <c r="J144">
        <f>$D$124-I144</f>
        <v>-12.187752882391862</v>
      </c>
      <c r="K144" s="38"/>
      <c r="L144">
        <f t="shared" si="52"/>
        <v>3.2232875115574412E-2</v>
      </c>
      <c r="M144">
        <f t="shared" si="45"/>
        <v>10.290312642760796</v>
      </c>
      <c r="N144" s="38">
        <f t="shared" si="53"/>
        <v>-6.0938764411959312</v>
      </c>
      <c r="O144">
        <f t="shared" si="54"/>
        <v>-6.2462233522258295</v>
      </c>
      <c r="P144" s="17">
        <f t="shared" si="55"/>
        <v>-26.546449246232619</v>
      </c>
      <c r="Q144" s="17">
        <f>($C$124)-(N144+M144+L144)</f>
        <v>-2.7452282896537858</v>
      </c>
      <c r="R144">
        <f t="shared" si="46"/>
        <v>-2.8138589968951306</v>
      </c>
      <c r="S144" s="17">
        <f t="shared" si="56"/>
        <v>-11.958900736476728</v>
      </c>
      <c r="T144" s="38"/>
      <c r="U144">
        <f t="shared" si="57"/>
        <v>-0.38521390879867229</v>
      </c>
    </row>
    <row r="145" spans="1:24" x14ac:dyDescent="0.2">
      <c r="A145" s="35" t="s">
        <v>209</v>
      </c>
      <c r="B145" s="37">
        <v>42300.916666666664</v>
      </c>
      <c r="C145">
        <f t="shared" si="47"/>
        <v>0.67662188058040473</v>
      </c>
      <c r="D145">
        <f t="shared" si="48"/>
        <v>4.9535597116607022</v>
      </c>
      <c r="E145">
        <f>($B$125)-(D145+C145)</f>
        <v>-6.5454396730598505</v>
      </c>
      <c r="F145">
        <f t="shared" si="49"/>
        <v>-6.7090756648863463</v>
      </c>
      <c r="G145" s="17">
        <f t="shared" si="50"/>
        <v>-13.865423041442016</v>
      </c>
      <c r="H145" s="38"/>
      <c r="I145">
        <f t="shared" si="51"/>
        <v>3.3918689532856661</v>
      </c>
      <c r="J145">
        <f>$D$125-I145</f>
        <v>-3.2186435524193451</v>
      </c>
      <c r="K145" s="38"/>
      <c r="L145">
        <f t="shared" si="52"/>
        <v>-4.8804409627197086E-2</v>
      </c>
      <c r="M145">
        <f t="shared" si="45"/>
        <v>-15.048297595396321</v>
      </c>
      <c r="N145" s="38">
        <f t="shared" si="53"/>
        <v>-1.6093217762096725</v>
      </c>
      <c r="O145">
        <f t="shared" si="54"/>
        <v>-1.6495548206149144</v>
      </c>
      <c r="P145" s="17">
        <f t="shared" si="55"/>
        <v>-3.4090799627705857</v>
      </c>
      <c r="Q145" s="17">
        <f>($C$125)-(N145+M145+L145)</f>
        <v>18.894032625668981</v>
      </c>
      <c r="R145">
        <f t="shared" si="46"/>
        <v>19.366383441310706</v>
      </c>
      <c r="S145" s="17">
        <f t="shared" si="56"/>
        <v>40.02385911399606</v>
      </c>
      <c r="T145" s="38"/>
      <c r="U145">
        <f t="shared" si="57"/>
        <v>-0.34642893884746301</v>
      </c>
    </row>
    <row r="146" spans="1:24" x14ac:dyDescent="0.2">
      <c r="A146" s="35" t="s">
        <v>210</v>
      </c>
      <c r="B146" s="37">
        <v>42301.00277777778</v>
      </c>
      <c r="C146">
        <f t="shared" si="47"/>
        <v>0.6898370163986286</v>
      </c>
      <c r="D146">
        <f t="shared" si="48"/>
        <v>5.6354076469986296</v>
      </c>
      <c r="E146">
        <f>($B$125)-(D146+C146)</f>
        <v>-7.2405027442160019</v>
      </c>
      <c r="F146">
        <f t="shared" si="49"/>
        <v>-7.421515312821402</v>
      </c>
      <c r="G146" s="17">
        <f t="shared" si="50"/>
        <v>-14.843030624778827</v>
      </c>
      <c r="H146" s="38"/>
      <c r="I146">
        <f t="shared" si="51"/>
        <v>1.4196167185131117</v>
      </c>
      <c r="J146">
        <f>$D$125-I146</f>
        <v>-1.2463913176467909</v>
      </c>
      <c r="K146" s="38"/>
      <c r="L146">
        <f t="shared" si="52"/>
        <v>-2.8458429369802557E-2</v>
      </c>
      <c r="M146">
        <f t="shared" si="45"/>
        <v>-15.648800660946108</v>
      </c>
      <c r="N146" s="38">
        <f t="shared" si="53"/>
        <v>-0.62319565882339545</v>
      </c>
      <c r="O146">
        <f t="shared" si="54"/>
        <v>-0.63877555029398037</v>
      </c>
      <c r="P146" s="17">
        <f t="shared" si="55"/>
        <v>-1.2775511005135975</v>
      </c>
      <c r="Q146" s="17">
        <f>($C$125)-(N146+M146+L146)</f>
        <v>18.488063593575095</v>
      </c>
      <c r="R146">
        <f t="shared" si="46"/>
        <v>18.950265183414473</v>
      </c>
      <c r="S146" s="17">
        <f t="shared" si="56"/>
        <v>37.900530364622846</v>
      </c>
      <c r="T146" s="38"/>
      <c r="U146">
        <f t="shared" si="57"/>
        <v>-0.3916312115419267</v>
      </c>
    </row>
    <row r="147" spans="1:24" x14ac:dyDescent="0.2">
      <c r="A147" s="35" t="s">
        <v>211</v>
      </c>
      <c r="B147" s="37">
        <v>42301.086111111108</v>
      </c>
      <c r="C147">
        <f t="shared" si="47"/>
        <v>0.37498855933005215</v>
      </c>
      <c r="D147">
        <f t="shared" si="48"/>
        <v>7.155348959645039</v>
      </c>
      <c r="E147">
        <f>($B$125)-(D147+C147)</f>
        <v>-8.445595599793835</v>
      </c>
      <c r="F147">
        <f t="shared" si="49"/>
        <v>-8.6567354897886801</v>
      </c>
      <c r="G147" s="17">
        <f t="shared" si="50"/>
        <v>-16.736355280392484</v>
      </c>
      <c r="H147" s="38"/>
      <c r="I147">
        <f t="shared" si="51"/>
        <v>1.8152609018644625</v>
      </c>
      <c r="J147">
        <f>$D$125-I147</f>
        <v>-1.6420355009981418</v>
      </c>
      <c r="K147" s="38"/>
      <c r="L147">
        <f t="shared" si="52"/>
        <v>-3.2984464084437157E-2</v>
      </c>
      <c r="M147">
        <f t="shared" si="45"/>
        <v>-20.920291129804923</v>
      </c>
      <c r="N147" s="38">
        <f t="shared" si="53"/>
        <v>-0.82101775049907089</v>
      </c>
      <c r="O147">
        <f t="shared" si="54"/>
        <v>-0.84154319426154767</v>
      </c>
      <c r="P147" s="17">
        <f t="shared" si="55"/>
        <v>-1.6269835089187212</v>
      </c>
      <c r="Q147" s="17">
        <f>($C$125)-(N147+M147+L147)</f>
        <v>23.961902188824219</v>
      </c>
      <c r="R147">
        <f t="shared" si="46"/>
        <v>24.560949743544825</v>
      </c>
      <c r="S147" s="17">
        <f t="shared" si="56"/>
        <v>47.484502837901232</v>
      </c>
      <c r="T147" s="38"/>
      <c r="U147">
        <f t="shared" si="57"/>
        <v>-0.35245931367388866</v>
      </c>
    </row>
    <row r="148" spans="1:24" x14ac:dyDescent="0.2">
      <c r="A148" s="35" t="s">
        <v>212</v>
      </c>
      <c r="B148" s="37">
        <v>42301.166666666664</v>
      </c>
      <c r="C148">
        <f t="shared" si="47"/>
        <v>0.30832728669691484</v>
      </c>
      <c r="D148">
        <f t="shared" si="48"/>
        <v>7.1400438156268393</v>
      </c>
      <c r="E148">
        <f>($B$125)-(D148+C148)</f>
        <v>-8.363629183142498</v>
      </c>
      <c r="F148">
        <f t="shared" si="49"/>
        <v>-8.5727199127210607</v>
      </c>
      <c r="G148" s="17">
        <f t="shared" si="50"/>
        <v>-17.145439825941118</v>
      </c>
      <c r="H148" s="38"/>
      <c r="I148">
        <f t="shared" si="51"/>
        <v>3.3142233081556469</v>
      </c>
      <c r="J148">
        <f>$D$125-I148</f>
        <v>-3.1409979072893259</v>
      </c>
      <c r="K148" s="38"/>
      <c r="L148">
        <f t="shared" si="52"/>
        <v>-2.7015483468099295E-2</v>
      </c>
      <c r="M148">
        <f t="shared" si="45"/>
        <v>-19.380727690981075</v>
      </c>
      <c r="N148" s="38">
        <f t="shared" si="53"/>
        <v>-1.570498953644663</v>
      </c>
      <c r="O148">
        <f t="shared" si="54"/>
        <v>-1.6097614274857797</v>
      </c>
      <c r="P148" s="17">
        <f t="shared" si="55"/>
        <v>-3.2195228550652599</v>
      </c>
      <c r="Q148" s="17">
        <f>($C$125)-(N148+M148+L148)</f>
        <v>23.165850972529626</v>
      </c>
      <c r="R148">
        <f t="shared" si="46"/>
        <v>23.744997246842864</v>
      </c>
      <c r="S148" s="17">
        <f t="shared" si="56"/>
        <v>47.489994495067869</v>
      </c>
      <c r="T148" s="38"/>
      <c r="U148">
        <f t="shared" si="57"/>
        <v>-0.36103267663511268</v>
      </c>
    </row>
    <row r="149" spans="1:24" x14ac:dyDescent="0.2">
      <c r="A149" s="35" t="s">
        <v>213</v>
      </c>
      <c r="B149" s="37">
        <v>42301.25</v>
      </c>
      <c r="C149">
        <f t="shared" si="47"/>
        <v>0.52776751182833337</v>
      </c>
      <c r="D149">
        <f t="shared" si="48"/>
        <v>7.5104949408666926</v>
      </c>
      <c r="E149">
        <f>($B$125)-(D149+C149)</f>
        <v>-8.9535205335137693</v>
      </c>
      <c r="F149">
        <f t="shared" si="49"/>
        <v>-9.1773585468516128</v>
      </c>
      <c r="G149" s="17">
        <f t="shared" si="50"/>
        <v>-22.94339636659484</v>
      </c>
      <c r="H149" s="38"/>
      <c r="I149">
        <f t="shared" si="51"/>
        <v>1.8434184875948176</v>
      </c>
      <c r="J149">
        <f>$D$125-I149</f>
        <v>-1.6701930867284969</v>
      </c>
      <c r="K149" s="38"/>
      <c r="L149">
        <f t="shared" si="52"/>
        <v>-4.5697250331312098E-2</v>
      </c>
      <c r="M149">
        <f t="shared" si="45"/>
        <v>-21.089737215515129</v>
      </c>
      <c r="N149" s="38">
        <f t="shared" si="53"/>
        <v>-0.83509654336424843</v>
      </c>
      <c r="O149">
        <f t="shared" si="54"/>
        <v>-0.85597395694835465</v>
      </c>
      <c r="P149" s="17">
        <f t="shared" si="55"/>
        <v>-2.1399348923210626</v>
      </c>
      <c r="Q149" s="17">
        <f>($C$125)-(N149+M149+L149)</f>
        <v>24.158139853646478</v>
      </c>
      <c r="R149">
        <f t="shared" si="46"/>
        <v>24.762093349987641</v>
      </c>
      <c r="S149" s="17">
        <f t="shared" si="56"/>
        <v>61.905233373527757</v>
      </c>
      <c r="T149" s="38"/>
      <c r="U149">
        <f t="shared" si="57"/>
        <v>-0.37062127248850685</v>
      </c>
    </row>
    <row r="150" spans="1:24" x14ac:dyDescent="0.2">
      <c r="A150" s="35" t="s">
        <v>214</v>
      </c>
      <c r="B150" s="37">
        <v>42301.354166666664</v>
      </c>
      <c r="C150">
        <f t="shared" si="47"/>
        <v>-0.26088748679314377</v>
      </c>
      <c r="D150">
        <f t="shared" si="48"/>
        <v>-0.20000936496003874</v>
      </c>
      <c r="E150">
        <f>($B$123)-(D150+C150)</f>
        <v>9.4029890395547486</v>
      </c>
      <c r="F150">
        <f t="shared" si="49"/>
        <v>9.6380637655436168</v>
      </c>
      <c r="G150" s="17" t="s">
        <v>195</v>
      </c>
      <c r="H150" s="38"/>
      <c r="I150">
        <f t="shared" si="51"/>
        <v>8.5032910785664626</v>
      </c>
      <c r="J150">
        <f>$D$123-I150</f>
        <v>-10.725003755502582</v>
      </c>
      <c r="K150" s="38"/>
      <c r="L150">
        <f t="shared" si="52"/>
        <v>-3.2289073820648551E-2</v>
      </c>
      <c r="M150">
        <f t="shared" si="45"/>
        <v>-9.2736446360175933</v>
      </c>
      <c r="N150" s="38">
        <f t="shared" si="53"/>
        <v>-5.3625018777512912</v>
      </c>
      <c r="O150">
        <f t="shared" si="54"/>
        <v>-5.496564424695074</v>
      </c>
      <c r="P150" s="17" t="s">
        <v>195</v>
      </c>
      <c r="Q150" s="17">
        <f>($C$123)-(N150+M150+L150)</f>
        <v>1.5311630056206642</v>
      </c>
      <c r="R150">
        <f t="shared" si="46"/>
        <v>1.5694420807611809</v>
      </c>
      <c r="S150" s="35" t="s">
        <v>195</v>
      </c>
      <c r="T150" s="38"/>
      <c r="U150">
        <f t="shared" si="57"/>
        <v>6.1410764268976061</v>
      </c>
    </row>
    <row r="151" spans="1:24" x14ac:dyDescent="0.2">
      <c r="A151" s="35"/>
      <c r="B151" s="35"/>
      <c r="C151" s="35"/>
      <c r="D151" s="35"/>
      <c r="E151" s="35"/>
      <c r="F151" s="35"/>
      <c r="G151" s="35"/>
      <c r="H151" s="35"/>
      <c r="I151" s="35"/>
      <c r="J151" s="35"/>
      <c r="K151" s="35"/>
      <c r="L151" s="35"/>
      <c r="M151" s="35"/>
      <c r="N151" s="35"/>
      <c r="O151" s="35"/>
      <c r="P151" s="35"/>
      <c r="Q151" s="35"/>
      <c r="R151" s="35"/>
    </row>
    <row r="152" spans="1:24" x14ac:dyDescent="0.2">
      <c r="A152" s="35" t="s">
        <v>99</v>
      </c>
      <c r="B152" s="35" t="s">
        <v>190</v>
      </c>
      <c r="C152" s="35" t="s">
        <v>330</v>
      </c>
      <c r="D152" s="35"/>
      <c r="E152" s="35"/>
      <c r="F152" s="35"/>
      <c r="G152" s="35"/>
      <c r="H152" s="35"/>
      <c r="I152" s="35"/>
      <c r="J152" s="35"/>
      <c r="K152" s="35"/>
      <c r="L152" s="35"/>
      <c r="M152" s="35"/>
      <c r="N152" s="35"/>
      <c r="O152" s="35"/>
      <c r="P152" s="35"/>
      <c r="Q152" s="35"/>
      <c r="R152" s="35"/>
    </row>
    <row r="153" spans="1:24" x14ac:dyDescent="0.2">
      <c r="A153" s="35" t="s">
        <v>198</v>
      </c>
      <c r="B153">
        <f>SLOPE(F138:F140,R138:R140)</f>
        <v>-0.85091489694961608</v>
      </c>
      <c r="C153" s="35">
        <f>SLOPE(F138:F148,R138:R148)</f>
        <v>-0.56508102558605655</v>
      </c>
      <c r="D153" s="35"/>
      <c r="E153" s="35"/>
      <c r="F153" s="35"/>
      <c r="G153" s="35"/>
      <c r="H153" s="35"/>
      <c r="I153" s="35"/>
      <c r="J153" s="35"/>
      <c r="K153" s="35"/>
      <c r="L153" s="35"/>
      <c r="M153" s="35"/>
      <c r="N153" s="35"/>
      <c r="O153" s="35"/>
      <c r="P153" s="35"/>
      <c r="Q153" s="35"/>
      <c r="R153" s="35"/>
    </row>
    <row r="154" spans="1:24" x14ac:dyDescent="0.2">
      <c r="A154" s="35" t="s">
        <v>199</v>
      </c>
      <c r="B154">
        <f>SLOPE(F141:F144,R141:R144)</f>
        <v>-1.147368948759885</v>
      </c>
      <c r="C154" s="35"/>
      <c r="D154" s="35"/>
      <c r="E154" s="35"/>
      <c r="F154" s="35"/>
      <c r="G154" s="35"/>
      <c r="H154" s="35"/>
      <c r="I154" s="35"/>
      <c r="J154" s="35"/>
      <c r="K154" s="35"/>
      <c r="L154" s="35"/>
      <c r="M154" s="35"/>
      <c r="N154" s="35"/>
      <c r="O154" s="35"/>
      <c r="P154" s="35"/>
      <c r="Q154" s="35"/>
      <c r="R154" s="35"/>
    </row>
    <row r="155" spans="1:24" x14ac:dyDescent="0.2">
      <c r="A155" s="35" t="s">
        <v>200</v>
      </c>
      <c r="B155">
        <f>SLOPE(F145:F149,R145:R149)</f>
        <v>-0.33090846378958133</v>
      </c>
      <c r="C155" s="35"/>
      <c r="D155" s="35"/>
      <c r="E155" s="35"/>
      <c r="F155" s="35"/>
      <c r="G155" s="35"/>
      <c r="H155" s="35"/>
      <c r="I155" s="35"/>
      <c r="J155" s="35"/>
      <c r="K155" s="35"/>
      <c r="L155" s="35"/>
      <c r="M155" s="35"/>
      <c r="N155" s="35"/>
      <c r="O155" s="35"/>
      <c r="P155" s="35"/>
      <c r="Q155" s="35"/>
      <c r="R155" s="35"/>
    </row>
    <row r="157" spans="1:24" x14ac:dyDescent="0.2">
      <c r="A157" s="39" t="s">
        <v>86</v>
      </c>
    </row>
    <row r="158" spans="1:24" x14ac:dyDescent="0.2">
      <c r="A158" t="s">
        <v>71</v>
      </c>
      <c r="B158" t="s">
        <v>72</v>
      </c>
      <c r="C158" t="s">
        <v>21</v>
      </c>
      <c r="D158" t="s">
        <v>81</v>
      </c>
      <c r="E158" t="s">
        <v>73</v>
      </c>
      <c r="G158" t="s">
        <v>82</v>
      </c>
      <c r="H158" t="s">
        <v>74</v>
      </c>
      <c r="I158" t="s">
        <v>75</v>
      </c>
      <c r="J158" t="s">
        <v>76</v>
      </c>
      <c r="K158" t="s">
        <v>77</v>
      </c>
      <c r="M158" t="s">
        <v>78</v>
      </c>
      <c r="O158" t="s">
        <v>83</v>
      </c>
      <c r="P158" s="2" t="s">
        <v>300</v>
      </c>
      <c r="Q158" t="s">
        <v>79</v>
      </c>
      <c r="R158" t="s">
        <v>80</v>
      </c>
      <c r="T158" t="s">
        <v>68</v>
      </c>
      <c r="U158" s="2" t="s">
        <v>310</v>
      </c>
      <c r="V158" s="2" t="s">
        <v>312</v>
      </c>
      <c r="W158" s="2" t="s">
        <v>311</v>
      </c>
      <c r="X158" s="2" t="s">
        <v>313</v>
      </c>
    </row>
    <row r="159" spans="1:24" x14ac:dyDescent="0.2">
      <c r="A159" s="20">
        <v>42817.4375</v>
      </c>
      <c r="B159" s="17">
        <v>29.844799999999999</v>
      </c>
      <c r="C159" s="17">
        <v>35.829599999999999</v>
      </c>
      <c r="D159">
        <v>2303.71</v>
      </c>
      <c r="E159" s="18">
        <f>(D159/C159)*35.4</f>
        <v>2276.0883180387168</v>
      </c>
      <c r="G159" s="17">
        <v>1975.59</v>
      </c>
      <c r="H159" s="18">
        <f>(G159/C159)*35.4</f>
        <v>1951.9025051912383</v>
      </c>
      <c r="I159" s="12">
        <v>1981.0821533203125</v>
      </c>
      <c r="J159" s="31">
        <v>10.835258116320906</v>
      </c>
      <c r="K159" s="31">
        <v>10.032578281191908</v>
      </c>
      <c r="M159" s="15">
        <v>8.0093479156494141</v>
      </c>
      <c r="O159" s="17">
        <v>215.31</v>
      </c>
      <c r="P159" s="18">
        <f t="shared" ref="P159:P172" si="58">(O159/C159)*35.4</f>
        <v>212.72841449527766</v>
      </c>
      <c r="Q159" s="17">
        <v>189.851428292349</v>
      </c>
      <c r="R159" s="17">
        <f>Q159/1.025</f>
        <v>185.2209056510722</v>
      </c>
      <c r="S159" s="17"/>
      <c r="T159" s="17">
        <v>7.1526399999999999</v>
      </c>
      <c r="U159" s="17">
        <f>'All Experimental Diel Data'!U52</f>
        <v>352.02790951456791</v>
      </c>
      <c r="V159">
        <f>(0.251*(T159)^2*(U159/660)^(-0.5))/100</f>
        <v>0.17582874453004574</v>
      </c>
      <c r="W159" s="17">
        <f>'All Experimental Diel Data'!W52</f>
        <v>413.81605051680936</v>
      </c>
      <c r="X159">
        <f>(0.251*(T159)^2*(W159/660)^(-0.5))/100</f>
        <v>0.16217158363739748</v>
      </c>
    </row>
    <row r="160" spans="1:24" x14ac:dyDescent="0.2">
      <c r="A160" s="20">
        <v>42817.5</v>
      </c>
      <c r="B160" s="17">
        <v>30.578099999999999</v>
      </c>
      <c r="C160" s="17">
        <v>35.902900000000002</v>
      </c>
      <c r="D160">
        <v>2306.1999999999998</v>
      </c>
      <c r="E160" s="18">
        <f t="shared" ref="E160:E172" si="59">(D160/C160)*35.4</f>
        <v>2273.8965376055971</v>
      </c>
      <c r="G160" s="17">
        <v>1918.7350000000001</v>
      </c>
      <c r="H160" s="18">
        <f t="shared" ref="H160:H172" si="60">(G160/C160)*35.4</f>
        <v>1891.858847056923</v>
      </c>
      <c r="I160" s="12">
        <v>1974.2073974609375</v>
      </c>
      <c r="J160" s="31">
        <v>8.4505994075155009</v>
      </c>
      <c r="K160" s="31">
        <v>9.862929576567435</v>
      </c>
      <c r="M160" s="15">
        <v>8.0876655578613281</v>
      </c>
      <c r="O160" s="17">
        <v>250.48</v>
      </c>
      <c r="P160" s="18">
        <f t="shared" si="58"/>
        <v>246.97147027120369</v>
      </c>
      <c r="Q160" s="17">
        <v>187.62488063931099</v>
      </c>
      <c r="R160" s="17">
        <f t="shared" ref="R160:R172" si="61">Q160/1.025</f>
        <v>183.0486640383522</v>
      </c>
      <c r="S160" s="17"/>
      <c r="T160" s="17">
        <v>7.1526399999999999</v>
      </c>
      <c r="U160" s="17">
        <f>'All Experimental Diel Data'!U53</f>
        <v>339.73319517045684</v>
      </c>
      <c r="V160">
        <f t="shared" ref="V160:V172" si="62">(0.251*(T160)^2*(U160/660)^(-0.5))/100</f>
        <v>0.17898203086483364</v>
      </c>
      <c r="W160" s="17">
        <f>'All Experimental Diel Data'!W53</f>
        <v>399.4780841457432</v>
      </c>
      <c r="X160">
        <f t="shared" ref="X160:X172" si="63">(0.251*(T160)^2*(W160/660)^(-0.5))/100</f>
        <v>0.1650562387208224</v>
      </c>
    </row>
    <row r="161" spans="1:24" x14ac:dyDescent="0.2">
      <c r="A161" s="20">
        <f t="shared" ref="A161:A172" si="64">A160+(1/24*2)</f>
        <v>42817.583333333336</v>
      </c>
      <c r="B161" s="17">
        <v>31.066199999999998</v>
      </c>
      <c r="C161" s="17">
        <v>35.922899999999998</v>
      </c>
      <c r="D161">
        <v>2288.5500000000002</v>
      </c>
      <c r="E161" s="18">
        <f t="shared" si="59"/>
        <v>2255.2374669082956</v>
      </c>
      <c r="G161" s="17">
        <v>1893.2150000000001</v>
      </c>
      <c r="H161" s="18">
        <f t="shared" si="60"/>
        <v>1865.6570321438414</v>
      </c>
      <c r="I161" s="12">
        <v>1969.7845458984375</v>
      </c>
      <c r="J161" s="31">
        <v>8.0951190332559726</v>
      </c>
      <c r="K161" s="31">
        <v>9.7543111413798602</v>
      </c>
      <c r="M161" s="15">
        <v>8.0947809219360352</v>
      </c>
      <c r="O161" s="17">
        <v>264.07</v>
      </c>
      <c r="P161" s="18">
        <f t="shared" si="58"/>
        <v>260.22615100673943</v>
      </c>
      <c r="Q161" s="17">
        <v>186.20328146245299</v>
      </c>
      <c r="R161" s="17">
        <f t="shared" si="61"/>
        <v>181.66173801214927</v>
      </c>
      <c r="S161" s="17"/>
      <c r="T161" s="17">
        <v>7.5996800000000002</v>
      </c>
      <c r="U161" s="17">
        <f>'All Experimental Diel Data'!U54</f>
        <v>331.81014947221468</v>
      </c>
      <c r="V161">
        <f t="shared" si="62"/>
        <v>0.20445204919648069</v>
      </c>
      <c r="W161" s="17">
        <f>'All Experimental Diel Data'!W54</f>
        <v>390.23628061416946</v>
      </c>
      <c r="X161">
        <f t="shared" si="63"/>
        <v>0.18852653217722232</v>
      </c>
    </row>
    <row r="162" spans="1:24" x14ac:dyDescent="0.2">
      <c r="A162" s="20">
        <f t="shared" si="64"/>
        <v>42817.666666666672</v>
      </c>
      <c r="B162" s="17">
        <v>31.084599999999998</v>
      </c>
      <c r="C162" s="17">
        <v>35.941299999999998</v>
      </c>
      <c r="D162">
        <v>2274.08</v>
      </c>
      <c r="E162" s="18">
        <f t="shared" si="59"/>
        <v>2239.8308352786348</v>
      </c>
      <c r="G162" s="17">
        <v>1847.53</v>
      </c>
      <c r="H162" s="18">
        <f t="shared" si="60"/>
        <v>1819.7049633708295</v>
      </c>
      <c r="I162" s="12">
        <v>1969.5111083984375</v>
      </c>
      <c r="J162" s="31">
        <v>6.9819268999897925</v>
      </c>
      <c r="K162" s="31">
        <v>9.7494145539233923</v>
      </c>
      <c r="M162" s="15">
        <v>8.1412773132324219</v>
      </c>
      <c r="O162" s="17">
        <v>275.24</v>
      </c>
      <c r="P162" s="18">
        <f t="shared" si="58"/>
        <v>271.094701638505</v>
      </c>
      <c r="Q162" s="17">
        <v>186.12978027953699</v>
      </c>
      <c r="R162" s="17">
        <f t="shared" si="61"/>
        <v>181.59002954101172</v>
      </c>
      <c r="S162" s="17"/>
      <c r="T162" s="17">
        <v>7.5996800000000002</v>
      </c>
      <c r="U162" s="17">
        <f>'All Experimental Diel Data'!U55</f>
        <v>331.51561046453162</v>
      </c>
      <c r="V162">
        <f t="shared" si="62"/>
        <v>0.20454285296579278</v>
      </c>
      <c r="W162" s="17">
        <f>'All Experimental Diel Data'!W55</f>
        <v>389.89261269600502</v>
      </c>
      <c r="X162">
        <f t="shared" si="63"/>
        <v>0.18860960152469392</v>
      </c>
    </row>
    <row r="163" spans="1:24" x14ac:dyDescent="0.2">
      <c r="A163" s="20">
        <f t="shared" si="64"/>
        <v>42817.750000000007</v>
      </c>
      <c r="B163" s="17">
        <v>30.381799999999998</v>
      </c>
      <c r="C163" s="17">
        <v>35.945399999999999</v>
      </c>
      <c r="D163">
        <v>2298.0700000000002</v>
      </c>
      <c r="E163" s="18">
        <f t="shared" si="59"/>
        <v>2263.2013553890069</v>
      </c>
      <c r="G163" s="17">
        <v>1883.5149999999999</v>
      </c>
      <c r="H163" s="18">
        <f t="shared" si="60"/>
        <v>1854.9364035453768</v>
      </c>
      <c r="I163" s="12">
        <v>1975.6800537109375</v>
      </c>
      <c r="J163" s="31">
        <v>7.4435338766004699</v>
      </c>
      <c r="K163" s="31">
        <v>9.9047740040776606</v>
      </c>
      <c r="M163" s="15">
        <v>8.1303377151489258</v>
      </c>
      <c r="O163" s="17">
        <v>243.58</v>
      </c>
      <c r="P163" s="18">
        <f t="shared" si="58"/>
        <v>239.88415763908597</v>
      </c>
      <c r="Q163" s="17">
        <v>188.14340738636699</v>
      </c>
      <c r="R163" s="17">
        <f t="shared" si="61"/>
        <v>183.55454379157757</v>
      </c>
      <c r="S163" s="17"/>
      <c r="T163" s="17">
        <v>7.1526399999999999</v>
      </c>
      <c r="U163" s="17">
        <f>'All Experimental Diel Data'!U56</f>
        <v>342.97869418727953</v>
      </c>
      <c r="V163">
        <f t="shared" si="62"/>
        <v>0.17813319281643428</v>
      </c>
      <c r="W163" s="17">
        <f>'All Experimental Diel Data'!W56</f>
        <v>403.26288192330901</v>
      </c>
      <c r="X163">
        <f t="shared" si="63"/>
        <v>0.16427985039749507</v>
      </c>
    </row>
    <row r="164" spans="1:24" x14ac:dyDescent="0.2">
      <c r="A164" s="20">
        <f t="shared" si="64"/>
        <v>42817.833333333343</v>
      </c>
      <c r="B164" s="17">
        <v>29.067699999999999</v>
      </c>
      <c r="C164" s="17">
        <v>35.928600000000003</v>
      </c>
      <c r="D164">
        <v>2336.9</v>
      </c>
      <c r="E164" s="18">
        <f t="shared" si="59"/>
        <v>2302.5183280172341</v>
      </c>
      <c r="G164" s="17">
        <v>1980.085</v>
      </c>
      <c r="H164" s="18">
        <f t="shared" si="60"/>
        <v>1950.9529733972374</v>
      </c>
      <c r="I164" s="12">
        <v>1987.28662109375</v>
      </c>
      <c r="J164" s="31">
        <v>9.7171961058394825</v>
      </c>
      <c r="K164" s="31">
        <v>10.209257077732754</v>
      </c>
      <c r="M164" s="15">
        <v>8.0587358474731445</v>
      </c>
      <c r="O164" s="17">
        <v>195.94</v>
      </c>
      <c r="P164" s="18">
        <f t="shared" si="58"/>
        <v>193.05723017317678</v>
      </c>
      <c r="Q164" s="17">
        <v>192.05365050670599</v>
      </c>
      <c r="R164" s="17">
        <f t="shared" si="61"/>
        <v>187.36941512849367</v>
      </c>
      <c r="S164" s="17"/>
      <c r="T164" s="17">
        <v>7.1526399999999999</v>
      </c>
      <c r="U164" s="17">
        <f>'All Experimental Diel Data'!U57</f>
        <v>365.56143428830251</v>
      </c>
      <c r="V164">
        <f t="shared" si="62"/>
        <v>0.17254335450200231</v>
      </c>
      <c r="W164" s="17">
        <f>'All Experimental Diel Data'!W57</f>
        <v>429.60758378996934</v>
      </c>
      <c r="X164">
        <f t="shared" si="63"/>
        <v>0.15916312365023091</v>
      </c>
    </row>
    <row r="165" spans="1:24" x14ac:dyDescent="0.2">
      <c r="A165" s="20">
        <f t="shared" si="64"/>
        <v>42817.916666666679</v>
      </c>
      <c r="B165" s="17">
        <v>28.724799999999998</v>
      </c>
      <c r="C165" s="17">
        <v>35.919400000000003</v>
      </c>
      <c r="D165">
        <v>2361.9899999999998</v>
      </c>
      <c r="E165" s="18">
        <f t="shared" si="59"/>
        <v>2327.8352645088721</v>
      </c>
      <c r="G165" s="17">
        <v>2045.2950000000001</v>
      </c>
      <c r="H165" s="18">
        <f t="shared" si="60"/>
        <v>2015.7197224897964</v>
      </c>
      <c r="I165" s="12">
        <v>1990.3271484375</v>
      </c>
      <c r="J165" s="31">
        <v>11.844834026201838</v>
      </c>
      <c r="K165" s="31">
        <v>10.291814136958099</v>
      </c>
      <c r="M165" s="15">
        <v>7.997105598449707</v>
      </c>
      <c r="O165" s="17">
        <v>159.34</v>
      </c>
      <c r="P165" s="18">
        <f t="shared" si="58"/>
        <v>157.03591930822896</v>
      </c>
      <c r="Q165" s="17">
        <v>193.10584838530801</v>
      </c>
      <c r="R165" s="17">
        <f t="shared" si="61"/>
        <v>188.39594964420294</v>
      </c>
      <c r="S165" s="17"/>
      <c r="T165" s="17">
        <v>6.7055999999999996</v>
      </c>
      <c r="U165" s="17">
        <f>'All Experimental Diel Data'!U58</f>
        <v>371.69719948239992</v>
      </c>
      <c r="V165">
        <f t="shared" si="62"/>
        <v>0.15039255298590362</v>
      </c>
      <c r="W165" s="17">
        <f>'All Experimental Diel Data'!W58</f>
        <v>436.77321609262708</v>
      </c>
      <c r="X165">
        <f t="shared" si="63"/>
        <v>0.13873721649193985</v>
      </c>
    </row>
    <row r="166" spans="1:24" x14ac:dyDescent="0.2">
      <c r="A166" s="20">
        <f t="shared" si="64"/>
        <v>42818.000000000015</v>
      </c>
      <c r="B166" s="17">
        <v>28.614899999999999</v>
      </c>
      <c r="C166" s="17">
        <v>35.895000000000003</v>
      </c>
      <c r="D166">
        <v>2332.46</v>
      </c>
      <c r="E166" s="18">
        <f t="shared" si="59"/>
        <v>2300.2948600083573</v>
      </c>
      <c r="G166" s="17">
        <v>2049.2649999999999</v>
      </c>
      <c r="H166" s="18">
        <f t="shared" si="60"/>
        <v>2021.0051817801918</v>
      </c>
      <c r="I166" s="12">
        <v>1991.4259033203125</v>
      </c>
      <c r="J166" s="31">
        <v>13.487056244496218</v>
      </c>
      <c r="K166" s="31">
        <v>10.31964726780528</v>
      </c>
      <c r="M166" s="15">
        <v>7.9475898742675781</v>
      </c>
      <c r="O166" s="17">
        <v>155.36000000000001</v>
      </c>
      <c r="P166" s="18">
        <f t="shared" si="58"/>
        <v>153.21755119097367</v>
      </c>
      <c r="Q166" s="17">
        <v>193.471522773521</v>
      </c>
      <c r="R166" s="17">
        <f t="shared" si="61"/>
        <v>188.75270514489856</v>
      </c>
      <c r="S166" s="17"/>
      <c r="T166" s="17">
        <v>6.7055999999999996</v>
      </c>
      <c r="U166" s="17">
        <f>'All Experimental Diel Data'!U59</f>
        <v>373.68499769923847</v>
      </c>
      <c r="V166">
        <f t="shared" si="62"/>
        <v>0.14999201687420596</v>
      </c>
      <c r="W166" s="17">
        <f>'All Experimental Diel Data'!W59</f>
        <v>439.0956808871797</v>
      </c>
      <c r="X166">
        <f t="shared" si="63"/>
        <v>0.13836982561695332</v>
      </c>
    </row>
    <row r="167" spans="1:24" x14ac:dyDescent="0.2">
      <c r="A167" s="20">
        <f t="shared" si="64"/>
        <v>42818.08333333335</v>
      </c>
      <c r="B167" s="17">
        <v>28.509899999999998</v>
      </c>
      <c r="C167" s="17">
        <v>35.891399999999997</v>
      </c>
      <c r="D167">
        <v>2349.64</v>
      </c>
      <c r="E167" s="18">
        <f t="shared" si="59"/>
        <v>2317.4703689463213</v>
      </c>
      <c r="G167" s="17">
        <v>2064.71</v>
      </c>
      <c r="H167" s="18">
        <f t="shared" si="60"/>
        <v>2036.4414316521506</v>
      </c>
      <c r="I167" s="12">
        <v>1992.3592529296875</v>
      </c>
      <c r="J167" s="31">
        <v>13.550043301301324</v>
      </c>
      <c r="K167" s="31">
        <v>10.345337938606932</v>
      </c>
      <c r="M167" s="15">
        <v>7.9496235847473145</v>
      </c>
      <c r="O167" s="17">
        <v>150.41999999999999</v>
      </c>
      <c r="P167" s="18">
        <f t="shared" si="58"/>
        <v>148.36055433892241</v>
      </c>
      <c r="Q167" s="17">
        <v>193.79807115144899</v>
      </c>
      <c r="R167" s="17">
        <f t="shared" si="61"/>
        <v>189.07128892824295</v>
      </c>
      <c r="S167" s="17"/>
      <c r="T167" s="17">
        <v>6.2585600000000001</v>
      </c>
      <c r="U167" s="17">
        <f>'All Experimental Diel Data'!U60</f>
        <v>375.59383577320136</v>
      </c>
      <c r="V167">
        <f t="shared" si="62"/>
        <v>0.13032727101673688</v>
      </c>
      <c r="W167" s="17">
        <f>'All Experimental Diel Data'!W60</f>
        <v>441.32639505877376</v>
      </c>
      <c r="X167">
        <f t="shared" si="63"/>
        <v>0.12023047921379426</v>
      </c>
    </row>
    <row r="168" spans="1:24" x14ac:dyDescent="0.2">
      <c r="A168" s="20">
        <f>A167+(1/24*4)</f>
        <v>42818.250000000015</v>
      </c>
      <c r="B168" s="17">
        <v>28.384</v>
      </c>
      <c r="C168" s="17">
        <v>35.929499999999997</v>
      </c>
      <c r="D168">
        <v>2338.83</v>
      </c>
      <c r="E168" s="18">
        <f t="shared" si="59"/>
        <v>2304.3622093265976</v>
      </c>
      <c r="G168" s="17">
        <v>2072.4349999999999</v>
      </c>
      <c r="H168" s="18">
        <f t="shared" si="60"/>
        <v>2041.8931240345678</v>
      </c>
      <c r="I168" s="12">
        <v>1993.2293701171875</v>
      </c>
      <c r="J168" s="31">
        <v>14.677173838767649</v>
      </c>
      <c r="K168" s="31">
        <v>10.374073845011763</v>
      </c>
      <c r="M168" s="15">
        <v>7.9201803207397461</v>
      </c>
      <c r="O168" s="17">
        <v>149.16999999999999</v>
      </c>
      <c r="P168" s="18">
        <f t="shared" si="58"/>
        <v>146.97165282010604</v>
      </c>
      <c r="Q168" s="17">
        <v>194.13918623133301</v>
      </c>
      <c r="R168" s="17">
        <f t="shared" si="61"/>
        <v>189.4040841281298</v>
      </c>
      <c r="S168" s="17"/>
      <c r="T168" s="17">
        <v>7.1526399999999999</v>
      </c>
      <c r="U168" s="17">
        <f>'All Experimental Diel Data'!U61</f>
        <v>377.89510127124265</v>
      </c>
      <c r="V168">
        <f t="shared" si="62"/>
        <v>0.16970427877558283</v>
      </c>
      <c r="W168" s="17">
        <f>'All Experimental Diel Data'!W61</f>
        <v>444.0163876418531</v>
      </c>
      <c r="X168">
        <f t="shared" si="63"/>
        <v>0.15655931908938278</v>
      </c>
    </row>
    <row r="169" spans="1:24" x14ac:dyDescent="0.2">
      <c r="A169" s="20">
        <f t="shared" si="64"/>
        <v>42818.33333333335</v>
      </c>
      <c r="B169" s="17">
        <v>28.650400000000001</v>
      </c>
      <c r="C169" s="17">
        <v>35.924500000000002</v>
      </c>
      <c r="D169">
        <v>2347.17</v>
      </c>
      <c r="E169" s="18">
        <f t="shared" si="59"/>
        <v>2312.9011677267604</v>
      </c>
      <c r="G169" s="17">
        <v>2040.4349999999999</v>
      </c>
      <c r="H169" s="18">
        <f t="shared" si="60"/>
        <v>2010.6445183649041</v>
      </c>
      <c r="I169" s="12">
        <v>1990.944091796875</v>
      </c>
      <c r="J169" s="31">
        <v>12.230845883907417</v>
      </c>
      <c r="K169" s="31">
        <v>10.309519750247411</v>
      </c>
      <c r="M169" s="15">
        <v>7.9841575622558594</v>
      </c>
      <c r="O169" s="17">
        <v>163.96</v>
      </c>
      <c r="P169" s="18">
        <f t="shared" si="58"/>
        <v>161.56617350276275</v>
      </c>
      <c r="Q169" s="17">
        <v>193.326999542972</v>
      </c>
      <c r="R169" s="17">
        <f t="shared" si="61"/>
        <v>188.61170687119221</v>
      </c>
      <c r="S169" s="17"/>
      <c r="T169" s="17">
        <v>7.5996800000000002</v>
      </c>
      <c r="U169" s="17">
        <f>'All Experimental Diel Data'!U62</f>
        <v>373.04176639798789</v>
      </c>
      <c r="V169">
        <f t="shared" si="62"/>
        <v>0.19282243878095404</v>
      </c>
      <c r="W169" s="17">
        <f>'All Experimental Diel Data'!W62</f>
        <v>438.3440972484749</v>
      </c>
      <c r="X169">
        <f t="shared" si="63"/>
        <v>0.17788065482114768</v>
      </c>
    </row>
    <row r="170" spans="1:24" x14ac:dyDescent="0.2">
      <c r="A170" s="20">
        <f t="shared" si="64"/>
        <v>42818.416666666686</v>
      </c>
      <c r="B170" s="17">
        <v>29.567</v>
      </c>
      <c r="C170" s="17">
        <v>35.929900000000004</v>
      </c>
      <c r="D170">
        <v>2299.5500000000002</v>
      </c>
      <c r="E170" s="18">
        <f t="shared" si="59"/>
        <v>2265.6358631668886</v>
      </c>
      <c r="G170" s="17">
        <v>1982.085</v>
      </c>
      <c r="H170" s="18">
        <f t="shared" si="60"/>
        <v>1952.8528885412984</v>
      </c>
      <c r="I170" s="12">
        <v>1982.918212890625</v>
      </c>
      <c r="J170" s="31">
        <v>11.313035231539033</v>
      </c>
      <c r="K170" s="31">
        <v>10.091806130211678</v>
      </c>
      <c r="M170" s="15">
        <v>7.9956655502319336</v>
      </c>
      <c r="O170" s="17">
        <v>212.76</v>
      </c>
      <c r="P170" s="18">
        <f t="shared" si="58"/>
        <v>209.6221809690536</v>
      </c>
      <c r="Q170" s="17">
        <v>190.55559432602399</v>
      </c>
      <c r="R170" s="17">
        <f t="shared" si="61"/>
        <v>185.90789690343806</v>
      </c>
      <c r="S170" s="17"/>
      <c r="T170" s="17">
        <v>6.7055999999999996</v>
      </c>
      <c r="U170" s="17">
        <f>'All Experimental Diel Data'!U63</f>
        <v>356.80661649797003</v>
      </c>
      <c r="V170">
        <f t="shared" si="62"/>
        <v>0.15349863811394449</v>
      </c>
      <c r="W170" s="17">
        <f>'All Experimental Diel Data'!W63</f>
        <v>419.39035425932855</v>
      </c>
      <c r="X170">
        <f t="shared" si="63"/>
        <v>0.14158321093432047</v>
      </c>
    </row>
    <row r="171" spans="1:24" x14ac:dyDescent="0.2">
      <c r="A171" s="20">
        <f t="shared" si="64"/>
        <v>42818.500000000022</v>
      </c>
      <c r="B171" s="17">
        <v>30.4209</v>
      </c>
      <c r="C171" s="17">
        <v>35.928800000000003</v>
      </c>
      <c r="D171">
        <v>2304.85</v>
      </c>
      <c r="E171" s="18">
        <f t="shared" si="59"/>
        <v>2270.9272227293977</v>
      </c>
      <c r="G171" s="17">
        <v>1913.22</v>
      </c>
      <c r="H171" s="18">
        <f t="shared" si="60"/>
        <v>1885.0612322148247</v>
      </c>
      <c r="I171" s="12">
        <v>1975.435302734375</v>
      </c>
      <c r="J171" s="31">
        <v>8.2717359701487734</v>
      </c>
      <c r="K171" s="31">
        <v>9.8968105458640583</v>
      </c>
      <c r="M171" s="15">
        <v>8.0959482192993164</v>
      </c>
      <c r="O171" s="17">
        <v>254.13</v>
      </c>
      <c r="P171" s="18">
        <f t="shared" si="58"/>
        <v>250.38971521453539</v>
      </c>
      <c r="Q171" s="17">
        <v>188.04939343155201</v>
      </c>
      <c r="R171" s="17">
        <f t="shared" si="61"/>
        <v>183.46282286005075</v>
      </c>
      <c r="S171" s="17"/>
      <c r="T171" s="17">
        <v>7.1526399999999999</v>
      </c>
      <c r="U171" s="17">
        <f>'All Experimental Diel Data'!U64</f>
        <v>342.32955855186424</v>
      </c>
      <c r="V171">
        <f t="shared" si="62"/>
        <v>0.17830200359514647</v>
      </c>
      <c r="W171" s="17">
        <f>'All Experimental Diel Data'!W64</f>
        <v>402.50589674265461</v>
      </c>
      <c r="X171">
        <f t="shared" si="63"/>
        <v>0.16443425682855436</v>
      </c>
    </row>
    <row r="172" spans="1:24" x14ac:dyDescent="0.2">
      <c r="A172" s="20">
        <f t="shared" si="64"/>
        <v>42818.583333333358</v>
      </c>
      <c r="B172" s="17">
        <v>30.9208</v>
      </c>
      <c r="C172" s="17">
        <v>35.934100000000001</v>
      </c>
      <c r="D172">
        <v>2285.23</v>
      </c>
      <c r="E172" s="18">
        <f t="shared" si="59"/>
        <v>2251.2638969669479</v>
      </c>
      <c r="G172" s="17">
        <v>1883.95</v>
      </c>
      <c r="H172" s="18">
        <f t="shared" si="60"/>
        <v>1855.9482497126683</v>
      </c>
      <c r="I172" s="12">
        <v>1971.0003662109375</v>
      </c>
      <c r="J172" s="31">
        <v>7.8465095281396708</v>
      </c>
      <c r="K172" s="31">
        <v>9.7856053853737777</v>
      </c>
      <c r="M172" s="15">
        <v>8.1059455871582031</v>
      </c>
      <c r="O172" s="17">
        <v>264.52999999999997</v>
      </c>
      <c r="P172" s="18">
        <f t="shared" si="58"/>
        <v>260.59820616072193</v>
      </c>
      <c r="Q172" s="17">
        <v>186.604770199109</v>
      </c>
      <c r="R172" s="17">
        <f t="shared" si="61"/>
        <v>182.05343434059415</v>
      </c>
      <c r="S172" s="17"/>
      <c r="T172" s="17">
        <v>7.1526399999999999</v>
      </c>
      <c r="U172" s="17">
        <f>'All Experimental Diel Data'!U65</f>
        <v>334.14827514989861</v>
      </c>
      <c r="V172">
        <f t="shared" si="62"/>
        <v>0.18047157628837732</v>
      </c>
      <c r="W172" s="17">
        <f>'All Experimental Diel Data'!W65</f>
        <v>392.96408089355486</v>
      </c>
      <c r="X172">
        <f t="shared" si="63"/>
        <v>0.16641865043857407</v>
      </c>
    </row>
    <row r="174" spans="1:24" x14ac:dyDescent="0.2">
      <c r="A174" t="s">
        <v>99</v>
      </c>
      <c r="B174" t="s">
        <v>148</v>
      </c>
      <c r="C174" t="s">
        <v>149</v>
      </c>
      <c r="D174" t="s">
        <v>150</v>
      </c>
    </row>
    <row r="175" spans="1:24" x14ac:dyDescent="0.2">
      <c r="A175" t="s">
        <v>215</v>
      </c>
      <c r="B175">
        <f>SLOPE(P160:P162,A160:A162)*(1/24)</f>
        <v>6.0308078416498088</v>
      </c>
      <c r="C175">
        <f>SLOPE(H160:H162,A160:A162)*(1/24)</f>
        <v>-18.038470920998368</v>
      </c>
      <c r="D175">
        <f>SLOPE(E160:E162,A160:A162)*(1/24)</f>
        <v>-8.5164255814927152</v>
      </c>
    </row>
    <row r="176" spans="1:24" x14ac:dyDescent="0.2">
      <c r="A176" t="s">
        <v>192</v>
      </c>
      <c r="B176">
        <f>SLOPE(P162:P165,A162:A165)*(1/24)</f>
        <v>-19.450163722270791</v>
      </c>
      <c r="C176">
        <f>SLOPE(H162:H165,A162:A165)*(1/24)</f>
        <v>34.203042359442605</v>
      </c>
      <c r="D176">
        <f>SLOPE(E162:E165,A162:A165)*(1/24)</f>
        <v>15.166513015505551</v>
      </c>
    </row>
    <row r="177" spans="1:21" x14ac:dyDescent="0.2">
      <c r="A177" t="s">
        <v>200</v>
      </c>
      <c r="B177">
        <f>SLOPE(P165:P168,A165:A168)*(1/24)</f>
        <v>-1.2542665572926954</v>
      </c>
      <c r="C177">
        <f>SLOPE(H165:H168,A165:A168)*(1/24)</f>
        <v>3.4346563599046318</v>
      </c>
      <c r="D177">
        <f>SLOPE(E165:E168,A165:A168)*(1/24)</f>
        <v>-1.9857311242976308</v>
      </c>
    </row>
    <row r="178" spans="1:21" x14ac:dyDescent="0.2">
      <c r="A178" t="s">
        <v>216</v>
      </c>
      <c r="B178">
        <f>SLOPE(P168:P171,A168:A171)*(1/24)</f>
        <v>17.915509731957531</v>
      </c>
      <c r="C178">
        <f>SLOPE(H168:H171,A168:A171)*(1/24)</f>
        <v>-26.414365263372989</v>
      </c>
      <c r="D178">
        <f>SLOPE(E168:E171,A168:A171)*(1/24)</f>
        <v>-7.3785132173588295</v>
      </c>
    </row>
    <row r="180" spans="1:21" x14ac:dyDescent="0.2">
      <c r="A180" s="33" t="s">
        <v>155</v>
      </c>
      <c r="B180" s="34">
        <v>400</v>
      </c>
      <c r="C180" s="35"/>
      <c r="D180" s="35"/>
      <c r="E180" s="35"/>
      <c r="F180" s="35"/>
      <c r="G180" s="35"/>
      <c r="H180" s="35"/>
      <c r="I180" s="35"/>
      <c r="J180" s="35"/>
      <c r="K180" s="35"/>
      <c r="L180" s="35"/>
      <c r="M180" s="35"/>
      <c r="N180" s="35"/>
      <c r="O180" s="35"/>
      <c r="P180" s="35"/>
      <c r="Q180" s="35"/>
      <c r="R180" s="35"/>
    </row>
    <row r="181" spans="1:21" x14ac:dyDescent="0.2">
      <c r="A181" s="33" t="s">
        <v>156</v>
      </c>
      <c r="B181" s="34">
        <v>5.8</v>
      </c>
      <c r="C181" s="35"/>
      <c r="D181" s="35"/>
      <c r="E181" s="35"/>
      <c r="F181" s="35"/>
      <c r="G181" s="35"/>
      <c r="H181" s="35"/>
      <c r="I181" s="35"/>
      <c r="J181" s="35"/>
      <c r="K181" s="35"/>
      <c r="L181" s="35"/>
      <c r="M181" s="35"/>
      <c r="N181" s="35"/>
      <c r="O181" s="35"/>
      <c r="P181" s="35"/>
      <c r="Q181" s="35"/>
      <c r="R181" s="35"/>
    </row>
    <row r="182" spans="1:21" x14ac:dyDescent="0.2">
      <c r="A182" s="33" t="s">
        <v>157</v>
      </c>
      <c r="B182" s="34">
        <v>1</v>
      </c>
      <c r="C182" s="35"/>
      <c r="D182" s="35"/>
      <c r="E182" s="35"/>
      <c r="F182" s="35"/>
      <c r="G182" s="35"/>
      <c r="H182" s="35"/>
      <c r="I182" s="35"/>
      <c r="J182" s="35"/>
      <c r="K182" s="35"/>
      <c r="L182" s="35"/>
      <c r="M182" s="35"/>
      <c r="N182" s="35"/>
      <c r="O182" s="35"/>
      <c r="P182" s="35"/>
      <c r="Q182" s="35"/>
      <c r="R182" s="35"/>
    </row>
    <row r="183" spans="1:21" x14ac:dyDescent="0.2">
      <c r="A183" s="33" t="s">
        <v>158</v>
      </c>
      <c r="B183" s="34">
        <v>1.0249999999999999</v>
      </c>
      <c r="C183" s="35"/>
      <c r="D183" s="35"/>
      <c r="E183" s="35"/>
      <c r="F183" s="35"/>
      <c r="G183" s="35"/>
      <c r="H183" s="35"/>
      <c r="I183" s="35"/>
      <c r="J183" s="35"/>
      <c r="K183" s="35"/>
      <c r="L183" s="35"/>
      <c r="M183" s="35"/>
      <c r="N183" s="35"/>
      <c r="O183" s="35"/>
      <c r="P183" s="35"/>
      <c r="Q183" s="35"/>
      <c r="R183" s="35"/>
    </row>
    <row r="184" spans="1:21" x14ac:dyDescent="0.2">
      <c r="A184" s="33" t="s">
        <v>159</v>
      </c>
      <c r="B184" s="34">
        <v>1978</v>
      </c>
      <c r="C184" s="35"/>
      <c r="D184" s="35"/>
      <c r="E184" s="35"/>
      <c r="F184" s="35"/>
      <c r="G184" s="35"/>
      <c r="H184" s="35"/>
      <c r="I184" s="35"/>
      <c r="J184" s="35"/>
      <c r="K184" s="35"/>
      <c r="L184" s="35"/>
      <c r="M184" s="35"/>
      <c r="N184" s="35"/>
      <c r="O184" s="35"/>
      <c r="P184" s="35"/>
      <c r="Q184" s="35"/>
      <c r="R184" s="35"/>
    </row>
    <row r="185" spans="1:21" x14ac:dyDescent="0.2">
      <c r="A185" s="33" t="s">
        <v>160</v>
      </c>
      <c r="B185" s="34">
        <v>2332</v>
      </c>
      <c r="C185" s="35"/>
      <c r="D185" s="35"/>
      <c r="E185" s="35"/>
      <c r="F185" s="35"/>
      <c r="G185" s="35"/>
      <c r="H185" s="35"/>
      <c r="I185" s="35"/>
      <c r="J185" s="35"/>
      <c r="K185" s="35"/>
      <c r="L185" s="35"/>
      <c r="M185" s="35"/>
      <c r="N185" s="35"/>
      <c r="O185" s="35"/>
      <c r="P185" s="35"/>
      <c r="Q185" s="35"/>
      <c r="R185" s="35"/>
    </row>
    <row r="186" spans="1:21" x14ac:dyDescent="0.2">
      <c r="A186" s="33" t="s">
        <v>161</v>
      </c>
      <c r="B186" s="34">
        <v>197</v>
      </c>
      <c r="C186" s="35"/>
      <c r="D186" s="35"/>
      <c r="E186" s="35"/>
      <c r="F186" s="35"/>
      <c r="G186" s="35"/>
      <c r="H186" s="35"/>
      <c r="I186" s="35"/>
      <c r="J186" s="35"/>
      <c r="K186" s="35"/>
      <c r="L186" s="35"/>
      <c r="M186" s="35"/>
      <c r="N186" s="35"/>
      <c r="O186" s="35"/>
      <c r="P186" s="35"/>
      <c r="Q186" s="35"/>
      <c r="R186" s="35"/>
    </row>
    <row r="187" spans="1:21" x14ac:dyDescent="0.2">
      <c r="A187" s="35"/>
      <c r="B187" s="35"/>
      <c r="C187" s="35"/>
      <c r="D187" s="35"/>
      <c r="E187" s="35"/>
      <c r="F187" s="35"/>
      <c r="G187" s="35"/>
      <c r="H187" s="35"/>
      <c r="I187" s="35"/>
      <c r="J187" s="35"/>
      <c r="K187" s="35"/>
      <c r="L187" s="35"/>
      <c r="M187" s="35"/>
      <c r="N187" s="35"/>
      <c r="O187" s="35"/>
      <c r="P187" s="35"/>
      <c r="Q187" s="35"/>
      <c r="R187" s="35"/>
    </row>
    <row r="188" spans="1:21" x14ac:dyDescent="0.2">
      <c r="A188" s="36" t="s">
        <v>162</v>
      </c>
      <c r="B188" s="35"/>
      <c r="C188" s="35"/>
      <c r="D188" s="35"/>
      <c r="E188" s="35"/>
      <c r="F188" s="35"/>
      <c r="G188" s="35"/>
      <c r="H188" s="35"/>
      <c r="I188" s="35"/>
      <c r="J188" s="35"/>
      <c r="K188" s="35"/>
      <c r="L188" s="35"/>
      <c r="M188" s="35"/>
      <c r="N188" s="35"/>
      <c r="O188" s="35"/>
      <c r="P188" s="35"/>
      <c r="Q188" s="35"/>
      <c r="R188" s="35"/>
    </row>
    <row r="189" spans="1:21" x14ac:dyDescent="0.2">
      <c r="A189" s="35" t="s">
        <v>163</v>
      </c>
      <c r="B189" t="s">
        <v>71</v>
      </c>
      <c r="C189" t="s">
        <v>164</v>
      </c>
      <c r="D189" t="s">
        <v>165</v>
      </c>
      <c r="E189" t="s">
        <v>166</v>
      </c>
      <c r="F189" t="s">
        <v>315</v>
      </c>
      <c r="G189" t="s">
        <v>167</v>
      </c>
      <c r="I189" t="s">
        <v>168</v>
      </c>
      <c r="J189" t="s">
        <v>169</v>
      </c>
      <c r="L189" t="s">
        <v>171</v>
      </c>
      <c r="M189" t="s">
        <v>172</v>
      </c>
      <c r="N189" t="s">
        <v>173</v>
      </c>
      <c r="O189" t="s">
        <v>315</v>
      </c>
      <c r="P189" s="35" t="s">
        <v>170</v>
      </c>
      <c r="Q189" t="s">
        <v>174</v>
      </c>
      <c r="R189" t="s">
        <v>315</v>
      </c>
      <c r="S189" t="s">
        <v>175</v>
      </c>
      <c r="U189" t="s">
        <v>176</v>
      </c>
    </row>
    <row r="190" spans="1:21" x14ac:dyDescent="0.2">
      <c r="A190" s="35" t="s">
        <v>217</v>
      </c>
      <c r="B190" s="20">
        <v>42817.4375</v>
      </c>
      <c r="C190" t="s">
        <v>195</v>
      </c>
      <c r="D190" t="s">
        <v>195</v>
      </c>
      <c r="E190" t="s">
        <v>195</v>
      </c>
      <c r="F190" s="35" t="s">
        <v>195</v>
      </c>
      <c r="G190" t="s">
        <v>195</v>
      </c>
      <c r="I190" t="s">
        <v>195</v>
      </c>
      <c r="J190" t="s">
        <v>195</v>
      </c>
      <c r="L190" t="s">
        <v>195</v>
      </c>
      <c r="M190" t="s">
        <v>195</v>
      </c>
      <c r="N190" t="s">
        <v>195</v>
      </c>
      <c r="O190" s="35" t="s">
        <v>195</v>
      </c>
      <c r="P190" s="35" t="s">
        <v>195</v>
      </c>
      <c r="Q190" t="s">
        <v>195</v>
      </c>
      <c r="R190" t="s">
        <v>195</v>
      </c>
      <c r="S190" t="s">
        <v>195</v>
      </c>
      <c r="U190" t="s">
        <v>195</v>
      </c>
    </row>
    <row r="191" spans="1:21" x14ac:dyDescent="0.2">
      <c r="A191" s="35" t="s">
        <v>218</v>
      </c>
      <c r="B191" s="20">
        <v>42817.5</v>
      </c>
      <c r="C191">
        <f>(V160/$B$182)*(R160-O160)</f>
        <v>-12.068997454344611</v>
      </c>
      <c r="D191">
        <f>(1/$B$181)*$B$186-(1/$B$181)*P160</f>
        <v>-8.6157707364144329</v>
      </c>
      <c r="E191">
        <f>($B$175)-(C191+D191)</f>
        <v>26.715576032408855</v>
      </c>
      <c r="F191">
        <f>E191/1000*1025</f>
        <v>27.383465433219076</v>
      </c>
      <c r="G191" s="17">
        <f>24*($B192-$B191)*F191</f>
        <v>54.766930868032077</v>
      </c>
      <c r="I191">
        <f>(1/$B$181)*$B$185-(1/$B$181)*E160</f>
        <v>10.017838343862536</v>
      </c>
      <c r="J191">
        <f>($D$175)-(I191)</f>
        <v>-18.534263925355251</v>
      </c>
      <c r="L191">
        <f>(X160/$B$182)*(K160-J160)</f>
        <v>0.23311390553565547</v>
      </c>
      <c r="M191">
        <f>(1/$B$181)*$B$184-(1/$B$181)*H160</f>
        <v>14.851922921220137</v>
      </c>
      <c r="N191">
        <f t="shared" ref="N191:N203" si="65">J191/2</f>
        <v>-9.2671319626776256</v>
      </c>
      <c r="O191">
        <f>N191/1000*1025</f>
        <v>-9.498810261744568</v>
      </c>
      <c r="P191" s="17">
        <f>24*($B192-$B191)*O191</f>
        <v>-18.997620524042041</v>
      </c>
      <c r="Q191">
        <f>($C$175)-(L191+M191+N191)</f>
        <v>-23.856375785076533</v>
      </c>
      <c r="R191">
        <f t="shared" ref="R191:R203" si="66">Q191/1000*1025</f>
        <v>-24.452785179703447</v>
      </c>
      <c r="S191" s="17">
        <f>24*($B192-$B191)*R191</f>
        <v>-48.905570360830232</v>
      </c>
      <c r="U191">
        <f>F191/R191</f>
        <v>-1.1198505704760446</v>
      </c>
    </row>
    <row r="192" spans="1:21" x14ac:dyDescent="0.2">
      <c r="A192" s="35" t="s">
        <v>219</v>
      </c>
      <c r="B192" s="20">
        <f t="shared" ref="B192:B203" si="67">B191+(1/24*2)</f>
        <v>42817.583333333336</v>
      </c>
      <c r="C192">
        <f>(V161/$B$182)*(R161-O161)</f>
        <v>-16.848538034136524</v>
      </c>
      <c r="D192">
        <f t="shared" ref="D192:D203" si="68">(1/$B$181)*$B$186-(1/$B$181)*P161</f>
        <v>-10.901060518403355</v>
      </c>
      <c r="E192">
        <f>($B$175)-(C192+D192)</f>
        <v>33.78040639418969</v>
      </c>
      <c r="F192">
        <f t="shared" ref="F192:F203" si="69">E192/1000*1025</f>
        <v>34.624916554044432</v>
      </c>
      <c r="G192" s="17">
        <f t="shared" ref="G192:G202" si="70">24*($B193-$B192)*F192</f>
        <v>69.249833110104305</v>
      </c>
      <c r="I192">
        <f t="shared" ref="I192:I203" si="71">(1/$B$181)*$B$185-(1/$B$181)*E161</f>
        <v>13.234919498569695</v>
      </c>
      <c r="J192">
        <f>($D$175)-(I192)</f>
        <v>-21.751345080062411</v>
      </c>
      <c r="L192">
        <f t="shared" ref="L192:L203" si="72">(X161/$B$182)*(K161-J161)</f>
        <v>0.31280173436041142</v>
      </c>
      <c r="M192">
        <f t="shared" ref="M192:M203" si="73">(1/$B$181)*$B$184-(1/$B$181)*H161</f>
        <v>19.369477216579071</v>
      </c>
      <c r="N192">
        <f t="shared" si="65"/>
        <v>-10.875672540031205</v>
      </c>
      <c r="O192">
        <f t="shared" ref="O192:O203" si="74">N192/1000*1025</f>
        <v>-11.147564353531985</v>
      </c>
      <c r="P192" s="17">
        <f t="shared" ref="P192:P202" si="75">24*($B193-$B192)*O192</f>
        <v>-22.295128707712845</v>
      </c>
      <c r="Q192">
        <f>($C$175)-(L192+M192+N192)</f>
        <v>-26.845077331906644</v>
      </c>
      <c r="R192">
        <f t="shared" si="66"/>
        <v>-27.516204265204308</v>
      </c>
      <c r="S192" s="17">
        <f t="shared" ref="S192:S202" si="76">24*($B193-$B192)*R192</f>
        <v>-55.032408532010272</v>
      </c>
      <c r="U192">
        <f t="shared" ref="U192:U203" si="77">E192/Q192</f>
        <v>-1.2583463991008914</v>
      </c>
    </row>
    <row r="193" spans="1:21" x14ac:dyDescent="0.2">
      <c r="A193" s="35" t="s">
        <v>220</v>
      </c>
      <c r="B193" s="20">
        <f t="shared" si="67"/>
        <v>42817.666666666672</v>
      </c>
      <c r="C193">
        <f>(V162/$B$182)*(R162-O162)</f>
        <v>-19.155432137843679</v>
      </c>
      <c r="D193">
        <f t="shared" si="68"/>
        <v>-12.774948558362937</v>
      </c>
      <c r="E193">
        <f>(AVERAGE(B175,B176))-(C193+D193)</f>
        <v>25.220702755896124</v>
      </c>
      <c r="F193">
        <f t="shared" si="69"/>
        <v>25.851220324793527</v>
      </c>
      <c r="G193" s="17">
        <f t="shared" si="70"/>
        <v>51.702440651091791</v>
      </c>
      <c r="I193">
        <f t="shared" si="71"/>
        <v>15.891235296787102</v>
      </c>
      <c r="J193">
        <f>(AVERAGE(D175,D176))-(I193)</f>
        <v>-12.566191579780684</v>
      </c>
      <c r="L193">
        <f t="shared" si="72"/>
        <v>0.52197474363292629</v>
      </c>
      <c r="M193">
        <f t="shared" si="73"/>
        <v>27.292247694684534</v>
      </c>
      <c r="N193">
        <f t="shared" si="65"/>
        <v>-6.2830957898903419</v>
      </c>
      <c r="O193">
        <f t="shared" si="74"/>
        <v>-6.4401731846376009</v>
      </c>
      <c r="P193" s="17">
        <f t="shared" si="75"/>
        <v>-12.88034636965007</v>
      </c>
      <c r="Q193">
        <f>(AVERAGE(C175,C176))-(L193+M193+N193)</f>
        <v>-13.448840929205</v>
      </c>
      <c r="R193">
        <f t="shared" si="66"/>
        <v>-13.785061952435125</v>
      </c>
      <c r="S193" s="17">
        <f t="shared" si="76"/>
        <v>-27.570123905672645</v>
      </c>
      <c r="U193">
        <f t="shared" si="77"/>
        <v>-1.8753067932514385</v>
      </c>
    </row>
    <row r="194" spans="1:21" x14ac:dyDescent="0.2">
      <c r="A194" s="35" t="s">
        <v>221</v>
      </c>
      <c r="B194" s="20">
        <f t="shared" si="67"/>
        <v>42817.750000000007</v>
      </c>
      <c r="C194">
        <f t="shared" ref="C194:C203" si="78">(V163/$B$182)*(R163-O163)</f>
        <v>-10.692526164669346</v>
      </c>
      <c r="D194">
        <f t="shared" si="68"/>
        <v>-7.393820282601034</v>
      </c>
      <c r="E194" s="17">
        <f>($B$176)-(D194+C194)</f>
        <v>-1.3638172750004109</v>
      </c>
      <c r="F194">
        <f t="shared" si="69"/>
        <v>-1.3979127068754211</v>
      </c>
      <c r="G194" s="17">
        <f t="shared" si="70"/>
        <v>-2.7958254138322114</v>
      </c>
      <c r="I194">
        <f t="shared" si="71"/>
        <v>11.861835277757393</v>
      </c>
      <c r="J194" s="17">
        <f>($D$176)-(I194)</f>
        <v>3.3046777377481575</v>
      </c>
      <c r="L194">
        <f t="shared" si="72"/>
        <v>0.40433215993426458</v>
      </c>
      <c r="M194">
        <f t="shared" si="73"/>
        <v>21.21786145769363</v>
      </c>
      <c r="N194">
        <f t="shared" si="65"/>
        <v>1.6523388688740788</v>
      </c>
      <c r="O194">
        <f t="shared" si="74"/>
        <v>1.6936473405959307</v>
      </c>
      <c r="P194" s="17">
        <f t="shared" si="75"/>
        <v>3.3872946812904448</v>
      </c>
      <c r="Q194">
        <f>($C$176)-(N194+M194+L194)</f>
        <v>10.928509872940634</v>
      </c>
      <c r="R194">
        <f t="shared" si="66"/>
        <v>11.20172261976415</v>
      </c>
      <c r="S194" s="17">
        <f t="shared" si="76"/>
        <v>22.403445240180325</v>
      </c>
      <c r="U194">
        <f t="shared" si="77"/>
        <v>-0.124794440491587</v>
      </c>
    </row>
    <row r="195" spans="1:21" x14ac:dyDescent="0.2">
      <c r="A195" s="35" t="s">
        <v>222</v>
      </c>
      <c r="B195" s="20">
        <f t="shared" si="67"/>
        <v>42817.833333333343</v>
      </c>
      <c r="C195">
        <f t="shared" si="78"/>
        <v>-1.4787974637738142</v>
      </c>
      <c r="D195">
        <f t="shared" si="68"/>
        <v>0.67978790117641807</v>
      </c>
      <c r="E195" s="17">
        <f>($B$176)-(D195+C195)</f>
        <v>-18.651154159673396</v>
      </c>
      <c r="F195">
        <f t="shared" si="69"/>
        <v>-19.117433013665231</v>
      </c>
      <c r="G195" s="17">
        <f t="shared" si="70"/>
        <v>-38.234866028443243</v>
      </c>
      <c r="I195">
        <f t="shared" si="71"/>
        <v>5.083046893580331</v>
      </c>
      <c r="J195" s="17">
        <f>($D$176)-(I195)</f>
        <v>10.08346612192522</v>
      </c>
      <c r="L195">
        <f t="shared" si="72"/>
        <v>7.8317961312901654E-2</v>
      </c>
      <c r="M195">
        <f t="shared" si="73"/>
        <v>4.6632804487521753</v>
      </c>
      <c r="N195">
        <f t="shared" si="65"/>
        <v>5.0417330609626099</v>
      </c>
      <c r="O195">
        <f t="shared" si="74"/>
        <v>5.1677763874866747</v>
      </c>
      <c r="P195" s="17">
        <f t="shared" si="75"/>
        <v>10.335552775274154</v>
      </c>
      <c r="Q195">
        <f>($C$176)-(N195+M195+L195)</f>
        <v>24.419710888414919</v>
      </c>
      <c r="R195">
        <f t="shared" si="66"/>
        <v>25.030203660625293</v>
      </c>
      <c r="S195" s="17">
        <f t="shared" si="76"/>
        <v>50.060407322707533</v>
      </c>
      <c r="U195">
        <f t="shared" si="77"/>
        <v>-0.76377456903151897</v>
      </c>
    </row>
    <row r="196" spans="1:21" x14ac:dyDescent="0.2">
      <c r="A196" s="35" t="s">
        <v>223</v>
      </c>
      <c r="B196" s="20">
        <f t="shared" si="67"/>
        <v>42817.916666666679</v>
      </c>
      <c r="C196">
        <f t="shared" si="78"/>
        <v>4.3697984464215383</v>
      </c>
      <c r="D196">
        <f t="shared" si="68"/>
        <v>6.8903587399605222</v>
      </c>
      <c r="E196" s="17">
        <f>(AVERAGE(B176,B177))-(D196+C196)</f>
        <v>-21.612372326163801</v>
      </c>
      <c r="F196">
        <f t="shared" si="69"/>
        <v>-22.152681634317897</v>
      </c>
      <c r="G196" s="17">
        <f t="shared" si="70"/>
        <v>-44.305363269925252</v>
      </c>
      <c r="I196">
        <f t="shared" si="71"/>
        <v>0.71805784329791322</v>
      </c>
      <c r="J196" s="17">
        <f>(AVERAGE(D176,D177))-(I196)</f>
        <v>5.8723331023060465</v>
      </c>
      <c r="L196">
        <f t="shared" si="72"/>
        <v>-0.21546165659029706</v>
      </c>
      <c r="M196">
        <f t="shared" si="73"/>
        <v>-6.5034004292752456</v>
      </c>
      <c r="N196">
        <f t="shared" si="65"/>
        <v>2.9361665511530233</v>
      </c>
      <c r="O196">
        <f t="shared" si="74"/>
        <v>3.0095707149318489</v>
      </c>
      <c r="P196" s="17">
        <f t="shared" si="75"/>
        <v>6.0191414300388777</v>
      </c>
      <c r="Q196">
        <f>(AVERAGE(C176,C177))-(N196+M196+L196)</f>
        <v>22.601544894386137</v>
      </c>
      <c r="R196">
        <f t="shared" si="66"/>
        <v>23.166583516745789</v>
      </c>
      <c r="S196" s="17">
        <f t="shared" si="76"/>
        <v>46.333167034840052</v>
      </c>
      <c r="U196">
        <f t="shared" si="77"/>
        <v>-0.95623429403412019</v>
      </c>
    </row>
    <row r="197" spans="1:21" x14ac:dyDescent="0.2">
      <c r="A197" s="35" t="s">
        <v>224</v>
      </c>
      <c r="B197" s="20">
        <f t="shared" si="67"/>
        <v>42818.000000000015</v>
      </c>
      <c r="C197">
        <f t="shared" si="78"/>
        <v>5.0086391935690067</v>
      </c>
      <c r="D197">
        <f t="shared" si="68"/>
        <v>7.5486980705217803</v>
      </c>
      <c r="E197" s="17">
        <f>($B$177)-(D197+C197)</f>
        <v>-13.811603821383482</v>
      </c>
      <c r="F197">
        <f t="shared" si="69"/>
        <v>-14.156893916918069</v>
      </c>
      <c r="G197" s="17">
        <f t="shared" si="70"/>
        <v>-28.313787834660179</v>
      </c>
      <c r="I197">
        <f t="shared" si="71"/>
        <v>5.4664034468349314</v>
      </c>
      <c r="J197" s="17">
        <f>($D$177)-(I197)</f>
        <v>-7.4521345711325626</v>
      </c>
      <c r="L197">
        <f t="shared" si="72"/>
        <v>-0.43827382776229767</v>
      </c>
      <c r="M197">
        <f t="shared" si="73"/>
        <v>-7.4146865138262115</v>
      </c>
      <c r="N197">
        <f t="shared" si="65"/>
        <v>-3.7260672855662813</v>
      </c>
      <c r="O197">
        <f t="shared" si="74"/>
        <v>-3.8192189677054382</v>
      </c>
      <c r="P197" s="17">
        <f t="shared" si="75"/>
        <v>-7.638437935633184</v>
      </c>
      <c r="Q197">
        <f>($C$177)-(N197+M197+L197)</f>
        <v>15.013683987059423</v>
      </c>
      <c r="R197">
        <f t="shared" si="66"/>
        <v>15.389026086735909</v>
      </c>
      <c r="S197" s="17">
        <f t="shared" si="76"/>
        <v>30.778052174367577</v>
      </c>
      <c r="U197">
        <f t="shared" si="77"/>
        <v>-0.91993436343058532</v>
      </c>
    </row>
    <row r="198" spans="1:21" x14ac:dyDescent="0.2">
      <c r="A198" s="35" t="s">
        <v>225</v>
      </c>
      <c r="B198" s="20">
        <f t="shared" si="67"/>
        <v>42818.08333333335</v>
      </c>
      <c r="C198">
        <f t="shared" si="78"/>
        <v>5.0373170072973226</v>
      </c>
      <c r="D198">
        <f t="shared" si="68"/>
        <v>8.3861113208754432</v>
      </c>
      <c r="E198">
        <f>($B$177)-(D198+C198)</f>
        <v>-14.67769488546546</v>
      </c>
      <c r="F198">
        <f t="shared" si="69"/>
        <v>-15.044637257602096</v>
      </c>
      <c r="G198" s="17">
        <f t="shared" si="70"/>
        <v>-60.178549029532668</v>
      </c>
      <c r="I198">
        <f t="shared" si="71"/>
        <v>2.5051088023583929</v>
      </c>
      <c r="J198">
        <f>($D$177)-(I198)</f>
        <v>-4.4908399266560242</v>
      </c>
      <c r="L198">
        <f t="shared" si="72"/>
        <v>-0.38530326149576316</v>
      </c>
      <c r="M198">
        <f t="shared" si="73"/>
        <v>-10.076108905543208</v>
      </c>
      <c r="N198">
        <f t="shared" si="65"/>
        <v>-2.2454199633280121</v>
      </c>
      <c r="O198">
        <f t="shared" si="74"/>
        <v>-2.3015554624112124</v>
      </c>
      <c r="P198" s="17">
        <f t="shared" si="75"/>
        <v>-9.2062218495108823</v>
      </c>
      <c r="Q198">
        <f>($C$177)-(N198+M198+L198)</f>
        <v>16.141488490271612</v>
      </c>
      <c r="R198">
        <f t="shared" si="66"/>
        <v>16.545025702528406</v>
      </c>
      <c r="S198" s="17">
        <f t="shared" si="76"/>
        <v>66.180102809150583</v>
      </c>
      <c r="U198">
        <f t="shared" si="77"/>
        <v>-0.90931483142410485</v>
      </c>
    </row>
    <row r="199" spans="1:21" x14ac:dyDescent="0.2">
      <c r="A199" s="35" t="s">
        <v>226</v>
      </c>
      <c r="B199" s="20">
        <f>B198+(1/24*4)</f>
        <v>42818.250000000015</v>
      </c>
      <c r="C199">
        <f t="shared" si="78"/>
        <v>6.8278962291603937</v>
      </c>
      <c r="D199">
        <f t="shared" si="68"/>
        <v>8.6255770999817152</v>
      </c>
      <c r="E199">
        <f>(AVERAGE(B177,B178))-(D199+C199)</f>
        <v>-7.1228517418096917</v>
      </c>
      <c r="F199">
        <f t="shared" si="69"/>
        <v>-7.3009230353549333</v>
      </c>
      <c r="G199" s="17">
        <f t="shared" si="70"/>
        <v>-14.601846071134837</v>
      </c>
      <c r="I199">
        <f t="shared" si="71"/>
        <v>4.7651363230003767</v>
      </c>
      <c r="J199">
        <f>(AVERAGE(D177,D178))-(I199)</f>
        <v>-9.4472584938286062</v>
      </c>
      <c r="L199">
        <f t="shared" si="72"/>
        <v>-0.67369040499594879</v>
      </c>
      <c r="M199">
        <f t="shared" si="73"/>
        <v>-11.016055868028957</v>
      </c>
      <c r="N199">
        <f t="shared" si="65"/>
        <v>-4.7236292469143031</v>
      </c>
      <c r="O199">
        <f t="shared" si="74"/>
        <v>-4.8417199780871609</v>
      </c>
      <c r="P199" s="17">
        <f t="shared" si="75"/>
        <v>-9.6834399564561462</v>
      </c>
      <c r="Q199">
        <f>(AVERAGE(C177,C178))-(N199+M199+L199)</f>
        <v>4.9235210682050301</v>
      </c>
      <c r="R199">
        <f t="shared" si="66"/>
        <v>5.0466090949101563</v>
      </c>
      <c r="S199" s="17">
        <f t="shared" si="76"/>
        <v>10.093218190114063</v>
      </c>
      <c r="U199">
        <f t="shared" si="77"/>
        <v>-1.4466987432647409</v>
      </c>
    </row>
    <row r="200" spans="1:21" x14ac:dyDescent="0.2">
      <c r="A200" s="35" t="s">
        <v>227</v>
      </c>
      <c r="B200" s="20">
        <f t="shared" si="67"/>
        <v>42818.33333333335</v>
      </c>
      <c r="C200">
        <f t="shared" si="78"/>
        <v>4.7534022390164825</v>
      </c>
      <c r="D200">
        <f t="shared" si="68"/>
        <v>6.1092804305581438</v>
      </c>
      <c r="E200">
        <f>($B$178)-(D200+C200)</f>
        <v>7.0528270623829048</v>
      </c>
      <c r="F200">
        <f t="shared" si="69"/>
        <v>7.2291477389424772</v>
      </c>
      <c r="G200" s="17">
        <f t="shared" si="70"/>
        <v>14.458295478305747</v>
      </c>
      <c r="I200">
        <f t="shared" si="71"/>
        <v>3.2929021160757657</v>
      </c>
      <c r="J200">
        <f>($D$178)-(I200)</f>
        <v>-10.671415333434595</v>
      </c>
      <c r="L200">
        <f t="shared" si="72"/>
        <v>-0.34176675078042584</v>
      </c>
      <c r="M200">
        <f t="shared" si="73"/>
        <v>-5.6283652353283173</v>
      </c>
      <c r="N200">
        <f t="shared" si="65"/>
        <v>-5.3357076667172976</v>
      </c>
      <c r="O200">
        <f t="shared" si="74"/>
        <v>-5.46910035838523</v>
      </c>
      <c r="P200" s="17">
        <f t="shared" si="75"/>
        <v>-10.938200717088803</v>
      </c>
      <c r="Q200">
        <f>($C$178)-(N200+M200+L200)</f>
        <v>-15.108525610546948</v>
      </c>
      <c r="R200">
        <f t="shared" si="66"/>
        <v>-15.486238750810621</v>
      </c>
      <c r="S200" s="17">
        <f t="shared" si="76"/>
        <v>-30.972477502522661</v>
      </c>
      <c r="U200">
        <f t="shared" si="77"/>
        <v>-0.46681107370658803</v>
      </c>
    </row>
    <row r="201" spans="1:21" x14ac:dyDescent="0.2">
      <c r="A201" s="35" t="s">
        <v>228</v>
      </c>
      <c r="B201" s="20">
        <f t="shared" si="67"/>
        <v>42818.416666666686</v>
      </c>
      <c r="C201">
        <f t="shared" si="78"/>
        <v>-4.1217612558174883</v>
      </c>
      <c r="D201">
        <f t="shared" si="68"/>
        <v>-2.176238098112691</v>
      </c>
      <c r="E201">
        <f>($B$178)-(D201+C201)</f>
        <v>24.213509085887711</v>
      </c>
      <c r="F201">
        <f t="shared" si="69"/>
        <v>24.818846813034906</v>
      </c>
      <c r="G201" s="17">
        <f t="shared" si="70"/>
        <v>49.637693627514459</v>
      </c>
      <c r="I201">
        <f t="shared" si="71"/>
        <v>11.442092557433</v>
      </c>
      <c r="J201">
        <f>($D$178)-(I201)</f>
        <v>-18.820605774791829</v>
      </c>
      <c r="L201">
        <f t="shared" si="72"/>
        <v>-0.17290553745236148</v>
      </c>
      <c r="M201">
        <f t="shared" si="73"/>
        <v>4.3357088721899117</v>
      </c>
      <c r="N201">
        <f t="shared" si="65"/>
        <v>-9.4103028873959147</v>
      </c>
      <c r="O201">
        <f t="shared" si="74"/>
        <v>-9.6455604595808122</v>
      </c>
      <c r="P201" s="17">
        <f t="shared" si="75"/>
        <v>-19.29112091972307</v>
      </c>
      <c r="Q201">
        <f>($C$178)-(N201+M201+L201)</f>
        <v>-21.166865710714625</v>
      </c>
      <c r="R201">
        <f t="shared" si="66"/>
        <v>-21.696037353482492</v>
      </c>
      <c r="S201" s="17">
        <f t="shared" si="76"/>
        <v>-43.39207470822786</v>
      </c>
      <c r="U201">
        <f t="shared" si="77"/>
        <v>-1.1439345539774877</v>
      </c>
    </row>
    <row r="202" spans="1:21" x14ac:dyDescent="0.2">
      <c r="A202" s="35" t="s">
        <v>229</v>
      </c>
      <c r="B202" s="20">
        <f t="shared" si="67"/>
        <v>42818.500000000022</v>
      </c>
      <c r="C202">
        <f t="shared" si="78"/>
        <v>-12.600099272466084</v>
      </c>
      <c r="D202">
        <f t="shared" si="68"/>
        <v>-9.2051233128509296</v>
      </c>
      <c r="E202">
        <f>(AVERAGE(B178,B175)-(D202+C202))</f>
        <v>33.778381372120677</v>
      </c>
      <c r="F202">
        <f t="shared" si="69"/>
        <v>34.622840906423697</v>
      </c>
      <c r="G202" s="17">
        <f t="shared" si="70"/>
        <v>69.245681814862706</v>
      </c>
      <c r="I202">
        <f t="shared" si="71"/>
        <v>10.529789184586605</v>
      </c>
      <c r="J202">
        <f>(AVERAGE(D178,D175)-(I202))</f>
        <v>-18.477258584012375</v>
      </c>
      <c r="L202">
        <f t="shared" si="72"/>
        <v>0.26721793014872119</v>
      </c>
      <c r="M202">
        <f t="shared" si="73"/>
        <v>16.023925480202649</v>
      </c>
      <c r="N202">
        <f t="shared" si="65"/>
        <v>-9.2386292920061877</v>
      </c>
      <c r="O202">
        <f t="shared" si="74"/>
        <v>-9.4695950243063436</v>
      </c>
      <c r="P202" s="17">
        <f t="shared" si="75"/>
        <v>-18.939190049163891</v>
      </c>
      <c r="Q202">
        <f>(AVERAGE(C178,C175))-(N202+M202+L202)</f>
        <v>-29.278932210530861</v>
      </c>
      <c r="R202">
        <f t="shared" si="66"/>
        <v>-30.010905515794132</v>
      </c>
      <c r="S202" s="17">
        <f t="shared" si="76"/>
        <v>-60.021811033335126</v>
      </c>
      <c r="U202">
        <f t="shared" si="77"/>
        <v>-1.1536753160681004</v>
      </c>
    </row>
    <row r="203" spans="1:21" x14ac:dyDescent="0.2">
      <c r="A203" s="35" t="s">
        <v>230</v>
      </c>
      <c r="B203" s="20">
        <f t="shared" si="67"/>
        <v>42818.583333333358</v>
      </c>
      <c r="C203">
        <f t="shared" si="78"/>
        <v>-14.884675811404819</v>
      </c>
      <c r="D203">
        <f t="shared" si="68"/>
        <v>-10.965207958745161</v>
      </c>
      <c r="E203">
        <f>($B$175)-(D203+C203)</f>
        <v>31.88069161179979</v>
      </c>
      <c r="F203">
        <f t="shared" si="69"/>
        <v>32.677708902094778</v>
      </c>
      <c r="I203">
        <f t="shared" si="71"/>
        <v>13.920017764319311</v>
      </c>
      <c r="J203">
        <f>($D$175)-(I203)</f>
        <v>-22.436443345812027</v>
      </c>
      <c r="L203">
        <f t="shared" si="72"/>
        <v>0.32270171563192995</v>
      </c>
      <c r="M203">
        <f t="shared" si="73"/>
        <v>21.043405221953719</v>
      </c>
      <c r="N203">
        <f t="shared" si="65"/>
        <v>-11.218221672906013</v>
      </c>
      <c r="O203">
        <f t="shared" si="74"/>
        <v>-11.498677214728662</v>
      </c>
      <c r="Q203">
        <f>($C$175)-(N203+M203+L203)</f>
        <v>-28.186356185678001</v>
      </c>
      <c r="R203">
        <f t="shared" si="66"/>
        <v>-28.89101509031995</v>
      </c>
      <c r="U203">
        <f t="shared" si="77"/>
        <v>-1.1310682161889003</v>
      </c>
    </row>
    <row r="204" spans="1:21" x14ac:dyDescent="0.2">
      <c r="A204" s="35"/>
      <c r="B204" s="35"/>
      <c r="C204" s="35"/>
      <c r="D204" s="35"/>
      <c r="E204" s="35"/>
      <c r="F204" s="35"/>
      <c r="G204" s="35"/>
      <c r="H204" s="35"/>
      <c r="I204" s="35"/>
      <c r="J204" s="35"/>
      <c r="K204" s="35"/>
      <c r="L204" s="35"/>
      <c r="M204" s="35"/>
      <c r="N204" s="35"/>
      <c r="O204" s="35"/>
      <c r="P204" s="35"/>
      <c r="Q204" s="35"/>
      <c r="R204" s="35"/>
    </row>
    <row r="205" spans="1:21" x14ac:dyDescent="0.2">
      <c r="A205" t="s">
        <v>99</v>
      </c>
      <c r="B205" t="s">
        <v>190</v>
      </c>
      <c r="C205" s="35" t="s">
        <v>329</v>
      </c>
      <c r="D205" s="35"/>
      <c r="E205" s="35"/>
      <c r="F205" s="35"/>
      <c r="G205" s="35"/>
      <c r="H205" s="35"/>
      <c r="I205" s="35"/>
      <c r="J205" s="35"/>
      <c r="K205" s="35"/>
      <c r="L205" s="35"/>
      <c r="M205" s="35"/>
      <c r="N205" s="35"/>
      <c r="O205" s="35"/>
      <c r="P205" s="35"/>
      <c r="Q205" s="35"/>
      <c r="R205" s="35"/>
    </row>
    <row r="206" spans="1:21" x14ac:dyDescent="0.2">
      <c r="A206" t="s">
        <v>215</v>
      </c>
      <c r="B206">
        <f>SLOPE(F191:F193,R191:R193)</f>
        <v>-0.51006474951702241</v>
      </c>
      <c r="C206" s="35">
        <f>SLOPE(F191:F201,R191:R201)</f>
        <v>-1.0096634531500006</v>
      </c>
      <c r="D206" s="35"/>
      <c r="E206" s="35"/>
      <c r="F206" s="35"/>
      <c r="G206" s="35"/>
      <c r="H206" s="35"/>
      <c r="I206" s="35"/>
      <c r="J206" s="35"/>
      <c r="K206" s="35"/>
      <c r="L206" s="35"/>
      <c r="M206" s="35"/>
      <c r="N206" s="35"/>
      <c r="O206" s="35"/>
      <c r="P206" s="35"/>
      <c r="Q206" s="35"/>
      <c r="R206" s="35"/>
    </row>
    <row r="207" spans="1:21" x14ac:dyDescent="0.2">
      <c r="A207" t="s">
        <v>192</v>
      </c>
      <c r="B207">
        <f>SLOPE(F193:F196,R193:R196)</f>
        <v>-1.2226306729522616</v>
      </c>
      <c r="C207" s="35"/>
      <c r="D207" s="35"/>
      <c r="E207" s="35"/>
      <c r="F207" s="35"/>
      <c r="G207" s="35"/>
      <c r="H207" s="35"/>
      <c r="I207" s="35"/>
      <c r="J207" s="35"/>
      <c r="K207" s="35"/>
      <c r="L207" s="35"/>
      <c r="M207" s="35"/>
      <c r="N207" s="35"/>
      <c r="O207" s="35"/>
      <c r="P207" s="35"/>
      <c r="Q207" s="35"/>
      <c r="R207" s="35"/>
    </row>
    <row r="208" spans="1:21" x14ac:dyDescent="0.2">
      <c r="A208" t="s">
        <v>200</v>
      </c>
      <c r="B208">
        <f>SLOPE(F196:F199,R196:R199)</f>
        <v>-0.80117943363871125</v>
      </c>
      <c r="C208" s="35"/>
      <c r="D208" s="35"/>
      <c r="E208" s="35"/>
      <c r="F208" s="35"/>
      <c r="G208" s="35"/>
      <c r="H208" s="35"/>
      <c r="I208" s="35"/>
      <c r="J208" s="35"/>
      <c r="K208" s="35"/>
      <c r="L208" s="35"/>
      <c r="M208" s="35"/>
      <c r="N208" s="35"/>
      <c r="O208" s="35"/>
      <c r="P208" s="35"/>
      <c r="Q208" s="35"/>
      <c r="R208" s="35"/>
    </row>
    <row r="209" spans="1:18" x14ac:dyDescent="0.2">
      <c r="A209" t="s">
        <v>216</v>
      </c>
      <c r="B209">
        <f>SLOPE(F199:F202,R199:R202)</f>
        <v>-1.1978889454575652</v>
      </c>
      <c r="C209" s="35"/>
      <c r="D209" s="35"/>
      <c r="E209" s="35"/>
      <c r="F209" s="35"/>
      <c r="G209" s="35"/>
      <c r="H209" s="35"/>
      <c r="I209" s="35"/>
      <c r="J209" s="35"/>
      <c r="K209" s="35"/>
      <c r="L209" s="35"/>
      <c r="M209" s="35"/>
      <c r="N209" s="35"/>
      <c r="O209" s="35"/>
      <c r="P209" s="35"/>
      <c r="Q209" s="35"/>
      <c r="R209" s="3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F6F89-0D44-1446-A8C3-716D1C61F196}">
  <dimension ref="A1:Q93"/>
  <sheetViews>
    <sheetView topLeftCell="A37" workbookViewId="0">
      <selection activeCell="A49" sqref="A49"/>
    </sheetView>
  </sheetViews>
  <sheetFormatPr baseColWidth="10" defaultRowHeight="16" x14ac:dyDescent="0.2"/>
  <cols>
    <col min="1" max="1" width="38.83203125" bestFit="1" customWidth="1"/>
    <col min="2" max="2" width="36.6640625" bestFit="1" customWidth="1"/>
    <col min="6" max="6" width="20.83203125" bestFit="1" customWidth="1"/>
    <col min="7" max="7" width="20" bestFit="1" customWidth="1"/>
    <col min="8" max="8" width="31.83203125" bestFit="1" customWidth="1"/>
    <col min="9" max="9" width="39" bestFit="1" customWidth="1"/>
    <col min="10" max="10" width="26.83203125" bestFit="1" customWidth="1"/>
    <col min="11" max="12" width="26.1640625" bestFit="1" customWidth="1"/>
    <col min="13" max="13" width="25.33203125" bestFit="1" customWidth="1"/>
    <col min="14" max="14" width="9.6640625" bestFit="1" customWidth="1"/>
    <col min="15" max="16" width="39.5" bestFit="1" customWidth="1"/>
    <col min="17" max="17" width="35.6640625" bestFit="1" customWidth="1"/>
    <col min="18" max="18" width="32.83203125" bestFit="1" customWidth="1"/>
    <col min="19" max="19" width="29.33203125" bestFit="1" customWidth="1"/>
  </cols>
  <sheetData>
    <row r="1" spans="1:17" x14ac:dyDescent="0.2">
      <c r="A1" t="s">
        <v>21</v>
      </c>
      <c r="B1">
        <f>35.4</f>
        <v>35.4</v>
      </c>
    </row>
    <row r="2" spans="1:17" x14ac:dyDescent="0.2">
      <c r="A2" t="s">
        <v>431</v>
      </c>
      <c r="B2">
        <f>(B1-0.03)/1.805</f>
        <v>19.59556786703601</v>
      </c>
    </row>
    <row r="3" spans="1:17" x14ac:dyDescent="0.2">
      <c r="A3" t="s">
        <v>432</v>
      </c>
      <c r="B3">
        <v>0.23200000000000001</v>
      </c>
    </row>
    <row r="4" spans="1:17" x14ac:dyDescent="0.2">
      <c r="A4" t="s">
        <v>433</v>
      </c>
      <c r="B4">
        <f>B3*B2</f>
        <v>4.5461717451523542</v>
      </c>
    </row>
    <row r="5" spans="1:17" x14ac:dyDescent="0.2">
      <c r="A5" t="s">
        <v>434</v>
      </c>
      <c r="B5">
        <f>B4/1000/11</f>
        <v>4.1328834046839587E-4</v>
      </c>
    </row>
    <row r="6" spans="1:17" x14ac:dyDescent="0.2">
      <c r="A6" t="s">
        <v>435</v>
      </c>
      <c r="B6" s="22">
        <f>10^-8.517939726</f>
        <v>3.0343122750783968E-9</v>
      </c>
    </row>
    <row r="7" spans="1:17" x14ac:dyDescent="0.2">
      <c r="A7" t="s">
        <v>436</v>
      </c>
      <c r="B7">
        <f>10^-5.796081321</f>
        <v>1.5992585417775091E-6</v>
      </c>
    </row>
    <row r="8" spans="1:17" x14ac:dyDescent="0.2">
      <c r="A8" t="s">
        <v>437</v>
      </c>
      <c r="B8">
        <f>10^-8.875533666</f>
        <v>1.3318837922383725E-9</v>
      </c>
    </row>
    <row r="9" spans="1:17" x14ac:dyDescent="0.2">
      <c r="A9" t="s">
        <v>438</v>
      </c>
      <c r="B9">
        <f>10^-(13.018750385574)</f>
        <v>9.5774438481516621E-14</v>
      </c>
    </row>
    <row r="10" spans="1:17" x14ac:dyDescent="0.2">
      <c r="A10" t="s">
        <v>439</v>
      </c>
      <c r="B10">
        <f>-1</f>
        <v>-1</v>
      </c>
    </row>
    <row r="12" spans="1:17" x14ac:dyDescent="0.2">
      <c r="A12" s="10" t="s">
        <v>70</v>
      </c>
    </row>
    <row r="13" spans="1:17" x14ac:dyDescent="0.2">
      <c r="A13" t="s">
        <v>99</v>
      </c>
      <c r="B13" t="s">
        <v>78</v>
      </c>
      <c r="C13" t="s">
        <v>440</v>
      </c>
      <c r="D13" t="s">
        <v>441</v>
      </c>
      <c r="E13" t="s">
        <v>442</v>
      </c>
      <c r="F13" t="s">
        <v>136</v>
      </c>
      <c r="G13" t="s">
        <v>443</v>
      </c>
      <c r="H13" t="s">
        <v>444</v>
      </c>
      <c r="I13" t="s">
        <v>450</v>
      </c>
      <c r="J13" t="s">
        <v>452</v>
      </c>
      <c r="K13" t="s">
        <v>445</v>
      </c>
      <c r="L13" t="s">
        <v>340</v>
      </c>
      <c r="M13" t="s">
        <v>446</v>
      </c>
      <c r="N13" t="s">
        <v>447</v>
      </c>
      <c r="P13" t="s">
        <v>448</v>
      </c>
      <c r="Q13" t="s">
        <v>449</v>
      </c>
    </row>
    <row r="14" spans="1:17" x14ac:dyDescent="0.2">
      <c r="A14" s="54">
        <v>0.45833333333333331</v>
      </c>
      <c r="B14" s="15">
        <f>'All Experimental Diel Data'!M3</f>
        <v>8.1290121078491211</v>
      </c>
      <c r="C14" s="55">
        <f>10^-B14</f>
        <v>7.4299842329270419E-9</v>
      </c>
      <c r="D14" s="55">
        <f>$B$9/C14</f>
        <v>1.2890261335559562E-5</v>
      </c>
      <c r="E14">
        <f>($B$6/(C14+$B$6))*$B$5</f>
        <v>1.1984043874049805E-4</v>
      </c>
      <c r="F14" s="18">
        <f>'All Experimental Diel Data'!P3</f>
        <v>232.43627009210954</v>
      </c>
      <c r="G14" s="56">
        <f>F14/1000000</f>
        <v>2.3243627009210955E-4</v>
      </c>
      <c r="H14" s="22">
        <f>'MultiBox Eulerian Inverse Model'!O10</f>
        <v>1.3631273807020778E-5</v>
      </c>
      <c r="I14" s="22">
        <f>H14/$B$10</f>
        <v>-1.3631273807020778E-5</v>
      </c>
      <c r="J14" s="22">
        <f>(A15-A14)*24*I14</f>
        <v>-2.726254761404155E-5</v>
      </c>
      <c r="K14" s="53">
        <f>G14</f>
        <v>2.3243627009210955E-4</v>
      </c>
      <c r="L14" s="17">
        <f>'All Experimental Diel Data'!E3</f>
        <v>2310.2735361689702</v>
      </c>
      <c r="M14">
        <f>L14*10^-6</f>
        <v>2.3102735361689702E-3</v>
      </c>
      <c r="N14" s="46">
        <f t="shared" ref="N14:N26" si="0">((C14^2+C14*$B$7+$B$7*$B$8)/(C14*$B$7+2*$B$7*$B$8))</f>
        <v>0.8714685180310483</v>
      </c>
      <c r="P14" s="22">
        <f>(((K15-K14)/$B$10)-M14*(N15-N14)+N15*(E15+D15)-N14*(E14+D14))/(N15-0.5)</f>
        <v>-2.277310219643705E-5</v>
      </c>
      <c r="Q14">
        <f t="shared" ref="Q14:Q25" si="1">P14/2</f>
        <v>-1.1386551098218525E-5</v>
      </c>
    </row>
    <row r="15" spans="1:17" x14ac:dyDescent="0.2">
      <c r="A15" s="54">
        <v>0.54166666666666663</v>
      </c>
      <c r="B15" s="15">
        <f>'All Experimental Diel Data'!M4</f>
        <v>8.1555814743041992</v>
      </c>
      <c r="C15" s="55">
        <f t="shared" ref="C15:C26" si="2">10^-B15</f>
        <v>6.9890560870910039E-9</v>
      </c>
      <c r="D15" s="55">
        <f t="shared" ref="D15:D26" si="3">$B$9/C15</f>
        <v>1.3703486892659922E-5</v>
      </c>
      <c r="E15">
        <f t="shared" ref="E15:E26" si="4">($B$6/(C15+$B$6))*$B$5</f>
        <v>1.2511222169217124E-4</v>
      </c>
      <c r="F15" s="18">
        <f>'All Experimental Diel Data'!P4</f>
        <v>248.5480096318143</v>
      </c>
      <c r="G15" s="56">
        <f t="shared" ref="G15:G26" si="5">F15/1000000</f>
        <v>2.485480096318143E-4</v>
      </c>
      <c r="H15" s="22">
        <f>'MultiBox Eulerian Inverse Model'!O11</f>
        <v>1.3631273847076346E-5</v>
      </c>
      <c r="I15" s="22">
        <f t="shared" ref="I15:I26" si="6">H15/$B$10</f>
        <v>-1.3631273847076346E-5</v>
      </c>
      <c r="J15" s="22">
        <f t="shared" ref="J15:J25" si="7">(A16-A15)*24*I15</f>
        <v>-2.7262547694152706E-5</v>
      </c>
      <c r="K15" s="53">
        <f>G14+(A15-A14)*24*((H15+H14)/2)</f>
        <v>2.5969881774620668E-4</v>
      </c>
      <c r="L15" s="17">
        <f>'All Experimental Diel Data'!E4</f>
        <v>2303.5782077381591</v>
      </c>
      <c r="M15">
        <f t="shared" ref="M15:M26" si="8">L15*10^-6</f>
        <v>2.3035782077381588E-3</v>
      </c>
      <c r="N15" s="46">
        <f t="shared" si="0"/>
        <v>0.86518552843124374</v>
      </c>
      <c r="P15" s="22">
        <f t="shared" ref="P15:P25" si="9">(((K16-K15)/$B$10)-M15*(N16-N15)+N16*(E16+D16)-N15*(E15+D15))/(N16-0.5)</f>
        <v>-3.0882253164183722E-5</v>
      </c>
      <c r="Q15">
        <f t="shared" si="1"/>
        <v>-1.5441126582091861E-5</v>
      </c>
    </row>
    <row r="16" spans="1:17" x14ac:dyDescent="0.2">
      <c r="A16" s="54">
        <v>0.625</v>
      </c>
      <c r="B16" s="15">
        <f>'All Experimental Diel Data'!M5</f>
        <v>8.1623544692993164</v>
      </c>
      <c r="C16" s="55">
        <f t="shared" si="2"/>
        <v>6.8809045060354843E-9</v>
      </c>
      <c r="D16" s="55">
        <f t="shared" si="3"/>
        <v>1.391887336868423E-5</v>
      </c>
      <c r="E16">
        <f t="shared" si="4"/>
        <v>1.2647690033552178E-4</v>
      </c>
      <c r="F16" s="18">
        <f>'All Experimental Diel Data'!P5</f>
        <v>257.08005925408077</v>
      </c>
      <c r="G16" s="56">
        <f t="shared" si="5"/>
        <v>2.5708005925408078E-4</v>
      </c>
      <c r="H16" s="22">
        <f>'MultiBox Eulerian Inverse Model'!O12</f>
        <v>1.3631172604462636E-5</v>
      </c>
      <c r="I16" s="22">
        <f t="shared" si="6"/>
        <v>-1.3631172604462636E-5</v>
      </c>
      <c r="J16" s="22">
        <f t="shared" si="7"/>
        <v>-2.7262345208925286E-5</v>
      </c>
      <c r="K16" s="53">
        <f t="shared" ref="K16:K26" si="10">G15+(A16-A15)*24*((H16+H15)/2)</f>
        <v>2.758104560833533E-4</v>
      </c>
      <c r="L16" s="17">
        <f>'All Experimental Diel Data'!E5</f>
        <v>2284.102739021293</v>
      </c>
      <c r="M16">
        <f t="shared" si="8"/>
        <v>2.284102739021293E-3</v>
      </c>
      <c r="N16" s="46">
        <f t="shared" si="0"/>
        <v>0.86355966123295813</v>
      </c>
      <c r="P16" s="22">
        <f t="shared" si="9"/>
        <v>3.5286570473557418E-5</v>
      </c>
      <c r="Q16">
        <f t="shared" si="1"/>
        <v>1.7643285236778709E-5</v>
      </c>
    </row>
    <row r="17" spans="1:17" x14ac:dyDescent="0.2">
      <c r="A17" s="54">
        <v>0.70833333333333337</v>
      </c>
      <c r="B17" s="15">
        <f>'All Experimental Diel Data'!M6</f>
        <v>8.1856975555419922</v>
      </c>
      <c r="C17" s="55">
        <f t="shared" si="2"/>
        <v>6.5208234879606965E-9</v>
      </c>
      <c r="D17" s="55">
        <f t="shared" si="3"/>
        <v>1.4687476000284873E-5</v>
      </c>
      <c r="E17">
        <f t="shared" si="4"/>
        <v>1.3124312576289057E-4</v>
      </c>
      <c r="F17" s="18">
        <f>'All Experimental Diel Data'!P6</f>
        <v>263.18856918985716</v>
      </c>
      <c r="G17" s="56">
        <f t="shared" si="5"/>
        <v>2.6318856918985717E-4</v>
      </c>
      <c r="H17" s="22">
        <f>'MultiBox Eulerian Inverse Model'!O13</f>
        <v>9.390277793474911E-6</v>
      </c>
      <c r="I17" s="22">
        <f t="shared" si="6"/>
        <v>-9.390277793474911E-6</v>
      </c>
      <c r="J17" s="22">
        <f t="shared" si="7"/>
        <v>-1.8780555586949805E-5</v>
      </c>
      <c r="K17" s="53">
        <f t="shared" si="10"/>
        <v>2.8010150965201834E-4</v>
      </c>
      <c r="L17" s="17">
        <f>'All Experimental Diel Data'!E6</f>
        <v>2284.5362469366155</v>
      </c>
      <c r="M17">
        <f t="shared" si="8"/>
        <v>2.2845362469366155E-3</v>
      </c>
      <c r="N17" s="46">
        <f t="shared" si="0"/>
        <v>0.85788199508332286</v>
      </c>
      <c r="P17" s="22">
        <f t="shared" si="9"/>
        <v>-7.2660531075554783E-6</v>
      </c>
      <c r="Q17">
        <f t="shared" si="1"/>
        <v>-3.6330265537777392E-6</v>
      </c>
    </row>
    <row r="18" spans="1:17" x14ac:dyDescent="0.2">
      <c r="A18" s="54">
        <v>0.79166666666666663</v>
      </c>
      <c r="B18" s="15">
        <f>'All Experimental Diel Data'!M7</f>
        <v>8.1636314392089844</v>
      </c>
      <c r="C18" s="55">
        <f t="shared" si="2"/>
        <v>6.8607020786412457E-9</v>
      </c>
      <c r="D18" s="55">
        <f t="shared" si="3"/>
        <v>1.3959859702942332E-5</v>
      </c>
      <c r="E18">
        <f t="shared" si="4"/>
        <v>1.2673512536731429E-4</v>
      </c>
      <c r="F18" s="18">
        <f>'All Experimental Diel Data'!P7</f>
        <v>225.82876394935624</v>
      </c>
      <c r="G18" s="56">
        <f t="shared" si="5"/>
        <v>2.2582876394935624E-4</v>
      </c>
      <c r="H18" s="22">
        <f>'MultiBox Eulerian Inverse Model'!O14</f>
        <v>-5.8419745874105446E-6</v>
      </c>
      <c r="I18" s="22">
        <f t="shared" si="6"/>
        <v>5.8419745874105446E-6</v>
      </c>
      <c r="J18" s="22">
        <f t="shared" si="7"/>
        <v>1.1683949174821094E-5</v>
      </c>
      <c r="K18" s="53">
        <f t="shared" si="10"/>
        <v>2.6673687239592151E-4</v>
      </c>
      <c r="L18" s="17">
        <f>'All Experimental Diel Data'!E7</f>
        <v>2285.2123795210841</v>
      </c>
      <c r="M18">
        <f t="shared" si="8"/>
        <v>2.2852123795210838E-3</v>
      </c>
      <c r="N18" s="46">
        <f t="shared" si="0"/>
        <v>0.86325203096952163</v>
      </c>
      <c r="P18" s="22">
        <f t="shared" si="9"/>
        <v>1.3166584241258974E-4</v>
      </c>
      <c r="Q18">
        <f t="shared" si="1"/>
        <v>6.583292120629487E-5</v>
      </c>
    </row>
    <row r="19" spans="1:17" x14ac:dyDescent="0.2">
      <c r="A19" s="54">
        <v>0.875</v>
      </c>
      <c r="B19" s="15">
        <f>'All Experimental Diel Data'!M8</f>
        <v>8.1572723388671875</v>
      </c>
      <c r="C19" s="55">
        <f t="shared" si="2"/>
        <v>6.9618980811659605E-9</v>
      </c>
      <c r="D19" s="55">
        <f t="shared" si="3"/>
        <v>1.3756943489393422E-5</v>
      </c>
      <c r="E19">
        <f t="shared" si="4"/>
        <v>1.2545213035124512E-4</v>
      </c>
      <c r="F19" s="18">
        <f>'All Experimental Diel Data'!P8</f>
        <v>199.61615450667941</v>
      </c>
      <c r="G19" s="56">
        <f t="shared" si="5"/>
        <v>1.996161545066794E-4</v>
      </c>
      <c r="H19" s="22">
        <f>'MultiBox Eulerian Inverse Model'!O15</f>
        <v>-5.8419745874105446E-6</v>
      </c>
      <c r="I19" s="22">
        <f t="shared" si="6"/>
        <v>5.8419745874105446E-6</v>
      </c>
      <c r="J19" s="22">
        <f t="shared" si="7"/>
        <v>1.1683949174821094E-5</v>
      </c>
      <c r="K19" s="53">
        <f t="shared" si="10"/>
        <v>2.1414481477453515E-4</v>
      </c>
      <c r="L19" s="17">
        <f>'All Experimental Diel Data'!E8</f>
        <v>2302.4974450653867</v>
      </c>
      <c r="M19">
        <f t="shared" si="8"/>
        <v>2.3024974450653866E-3</v>
      </c>
      <c r="N19" s="46">
        <f t="shared" si="0"/>
        <v>0.86478054843300256</v>
      </c>
      <c r="P19" s="22">
        <f t="shared" si="9"/>
        <v>-7.0575387630400605E-5</v>
      </c>
      <c r="Q19">
        <f t="shared" si="1"/>
        <v>-3.5287693815200302E-5</v>
      </c>
    </row>
    <row r="20" spans="1:17" x14ac:dyDescent="0.2">
      <c r="A20" s="54">
        <v>0.95833333333333337</v>
      </c>
      <c r="B20" s="15">
        <f>'All Experimental Diel Data'!M9</f>
        <v>8.0809879302978516</v>
      </c>
      <c r="C20" s="55">
        <f t="shared" si="2"/>
        <v>8.2987383064598319E-9</v>
      </c>
      <c r="D20" s="55">
        <f t="shared" si="3"/>
        <v>1.1540843311924261E-5</v>
      </c>
      <c r="E20">
        <f t="shared" si="4"/>
        <v>1.1065386813616625E-4</v>
      </c>
      <c r="F20" s="18">
        <f>'All Experimental Diel Data'!P9</f>
        <v>168.30326800329985</v>
      </c>
      <c r="G20" s="56">
        <f t="shared" si="5"/>
        <v>1.6830326800329985E-4</v>
      </c>
      <c r="H20" s="22">
        <f>'MultiBox Eulerian Inverse Model'!O16</f>
        <v>-5.8419745874105446E-6</v>
      </c>
      <c r="I20" s="22">
        <f t="shared" si="6"/>
        <v>5.8419745874105446E-6</v>
      </c>
      <c r="J20" s="22">
        <f t="shared" si="7"/>
        <v>1.1683949174821094E-5</v>
      </c>
      <c r="K20" s="53">
        <f t="shared" si="10"/>
        <v>1.8793220533185832E-4</v>
      </c>
      <c r="L20" s="17">
        <f>'All Experimental Diel Data'!E9</f>
        <v>2308.8026894087634</v>
      </c>
      <c r="M20">
        <f t="shared" si="8"/>
        <v>2.3088026894087631E-3</v>
      </c>
      <c r="N20" s="46">
        <f t="shared" si="0"/>
        <v>0.88243375299431459</v>
      </c>
      <c r="P20" s="22">
        <f t="shared" si="9"/>
        <v>1.7578978430886794E-5</v>
      </c>
      <c r="Q20">
        <f t="shared" si="1"/>
        <v>8.789489215443397E-6</v>
      </c>
    </row>
    <row r="21" spans="1:17" x14ac:dyDescent="0.2">
      <c r="A21" s="54">
        <v>1.0416666666666667</v>
      </c>
      <c r="B21" s="15">
        <f>'All Experimental Diel Data'!M10</f>
        <v>8.0441799163818359</v>
      </c>
      <c r="C21" s="55">
        <f t="shared" si="2"/>
        <v>9.0327519387608837E-9</v>
      </c>
      <c r="D21" s="55">
        <f t="shared" si="3"/>
        <v>1.0603018784401047E-5</v>
      </c>
      <c r="E21">
        <f t="shared" si="4"/>
        <v>1.0392303068975248E-4</v>
      </c>
      <c r="F21" s="18">
        <f>'All Experimental Diel Data'!P10</f>
        <v>163.53293379445529</v>
      </c>
      <c r="G21" s="56">
        <f t="shared" si="5"/>
        <v>1.6353293379445529E-4</v>
      </c>
      <c r="H21" s="22">
        <f>'MultiBox Eulerian Inverse Model'!O17</f>
        <v>-5.8419745874105446E-6</v>
      </c>
      <c r="I21" s="22">
        <f t="shared" si="6"/>
        <v>5.8419745874105446E-6</v>
      </c>
      <c r="J21" s="22">
        <f t="shared" si="7"/>
        <v>1.1683949174821079E-5</v>
      </c>
      <c r="K21" s="53">
        <f t="shared" si="10"/>
        <v>1.5661931882847877E-4</v>
      </c>
      <c r="L21" s="17">
        <f>'All Experimental Diel Data'!E10</f>
        <v>2316.5786479514245</v>
      </c>
      <c r="M21">
        <f t="shared" si="8"/>
        <v>2.3165786479514244E-3</v>
      </c>
      <c r="N21" s="46">
        <f t="shared" si="0"/>
        <v>0.8904916956078176</v>
      </c>
      <c r="P21" s="22">
        <f t="shared" si="9"/>
        <v>5.0413575107736038E-5</v>
      </c>
      <c r="Q21">
        <f t="shared" si="1"/>
        <v>2.5206787553868019E-5</v>
      </c>
    </row>
    <row r="22" spans="1:17" x14ac:dyDescent="0.2">
      <c r="A22" s="54">
        <v>1.125</v>
      </c>
      <c r="B22" s="15">
        <f>'All Experimental Diel Data'!M11</f>
        <v>8.0663671493530273</v>
      </c>
      <c r="C22" s="55">
        <f t="shared" si="2"/>
        <v>8.5828762468480474E-9</v>
      </c>
      <c r="D22" s="55">
        <f t="shared" si="3"/>
        <v>1.1158781243838692E-5</v>
      </c>
      <c r="E22">
        <f t="shared" si="4"/>
        <v>1.079474506472138E-4</v>
      </c>
      <c r="F22" s="18">
        <f>'All Experimental Diel Data'!P11</f>
        <v>162.12409799416696</v>
      </c>
      <c r="G22" s="56">
        <f t="shared" si="5"/>
        <v>1.6212409799416696E-4</v>
      </c>
      <c r="H22" s="22">
        <f>'MultiBox Eulerian Inverse Model'!O18</f>
        <v>-5.8419745874105446E-6</v>
      </c>
      <c r="I22" s="22">
        <f t="shared" si="6"/>
        <v>5.8419745874105446E-6</v>
      </c>
      <c r="J22" s="22">
        <f t="shared" si="7"/>
        <v>1.1683949174821079E-5</v>
      </c>
      <c r="K22" s="53">
        <f t="shared" si="10"/>
        <v>1.518489846196342E-4</v>
      </c>
      <c r="L22" s="17">
        <f>'All Experimental Diel Data'!E11</f>
        <v>2307.8678122674205</v>
      </c>
      <c r="M22">
        <f t="shared" si="8"/>
        <v>2.3078678122674203E-3</v>
      </c>
      <c r="N22" s="46">
        <f t="shared" si="0"/>
        <v>0.88567066204446576</v>
      </c>
      <c r="P22" s="22">
        <f t="shared" si="9"/>
        <v>4.3461780681296414E-6</v>
      </c>
      <c r="Q22">
        <f t="shared" si="1"/>
        <v>2.1730890340648207E-6</v>
      </c>
    </row>
    <row r="23" spans="1:17" x14ac:dyDescent="0.2">
      <c r="A23" s="54">
        <v>1.2083333333333333</v>
      </c>
      <c r="B23" s="15">
        <f>'All Experimental Diel Data'!M12</f>
        <v>8.066767692565918</v>
      </c>
      <c r="C23" s="55">
        <f t="shared" si="2"/>
        <v>8.5749640394936167E-9</v>
      </c>
      <c r="D23" s="55">
        <f t="shared" si="3"/>
        <v>1.1169077565854428E-5</v>
      </c>
      <c r="E23">
        <f t="shared" si="4"/>
        <v>1.0802102134962105E-4</v>
      </c>
      <c r="F23" s="18">
        <f>'All Experimental Diel Data'!P12</f>
        <v>160.58415551980559</v>
      </c>
      <c r="G23" s="56">
        <f t="shared" si="5"/>
        <v>1.605841555198056E-4</v>
      </c>
      <c r="H23" s="22">
        <f>'MultiBox Eulerian Inverse Model'!O19</f>
        <v>-5.8419745874105446E-6</v>
      </c>
      <c r="I23" s="22">
        <f t="shared" si="6"/>
        <v>5.8419745874105446E-6</v>
      </c>
      <c r="J23" s="22">
        <f t="shared" si="7"/>
        <v>1.1683949174821109E-5</v>
      </c>
      <c r="K23" s="53">
        <f t="shared" si="10"/>
        <v>1.5044014881934587E-4</v>
      </c>
      <c r="L23" s="17">
        <f>'All Experimental Diel Data'!E12</f>
        <v>2306.4022544971817</v>
      </c>
      <c r="M23">
        <f t="shared" si="8"/>
        <v>2.3064022544971815E-3</v>
      </c>
      <c r="N23" s="46">
        <f t="shared" si="0"/>
        <v>0.88558261967961904</v>
      </c>
      <c r="P23" s="22">
        <f t="shared" si="9"/>
        <v>-4.7428074739321137E-5</v>
      </c>
      <c r="Q23">
        <f t="shared" si="1"/>
        <v>-2.3714037369660569E-5</v>
      </c>
    </row>
    <row r="24" spans="1:17" x14ac:dyDescent="0.2">
      <c r="A24" s="54">
        <v>1.2916666666666667</v>
      </c>
      <c r="B24" s="15">
        <f>'All Experimental Diel Data'!M13</f>
        <v>8.052398681640625</v>
      </c>
      <c r="C24" s="55">
        <f t="shared" si="2"/>
        <v>8.8634197793426295E-9</v>
      </c>
      <c r="D24" s="55">
        <f t="shared" si="3"/>
        <v>1.0805585300690778E-5</v>
      </c>
      <c r="E24">
        <f t="shared" si="4"/>
        <v>1.0540209502903102E-4</v>
      </c>
      <c r="F24" s="18">
        <f>'All Experimental Diel Data'!P13</f>
        <v>156.13610311966195</v>
      </c>
      <c r="G24" s="56">
        <f t="shared" si="5"/>
        <v>1.5613610311966195E-4</v>
      </c>
      <c r="H24" s="22">
        <f>'MultiBox Eulerian Inverse Model'!O20</f>
        <v>4.6244365137781615E-6</v>
      </c>
      <c r="I24" s="22">
        <f t="shared" si="6"/>
        <v>-4.6244365137781615E-6</v>
      </c>
      <c r="J24" s="22">
        <f t="shared" si="7"/>
        <v>-9.2488730275563145E-6</v>
      </c>
      <c r="K24" s="53">
        <f t="shared" si="10"/>
        <v>1.5936661744617322E-4</v>
      </c>
      <c r="L24" s="17">
        <f>'All Experimental Diel Data'!E13</f>
        <v>2311.9063539512717</v>
      </c>
      <c r="M24">
        <f t="shared" si="8"/>
        <v>2.3119063539512718E-3</v>
      </c>
      <c r="N24" s="46">
        <f t="shared" si="0"/>
        <v>0.88871865648771797</v>
      </c>
      <c r="P24" s="22">
        <f t="shared" si="9"/>
        <v>-1.177384524337433E-5</v>
      </c>
      <c r="Q24">
        <f t="shared" si="1"/>
        <v>-5.8869226216871649E-6</v>
      </c>
    </row>
    <row r="25" spans="1:17" x14ac:dyDescent="0.2">
      <c r="A25" s="54">
        <v>1.375</v>
      </c>
      <c r="B25" s="15">
        <f>'All Experimental Diel Data'!M14</f>
        <v>8.0682077407836914</v>
      </c>
      <c r="C25" s="55">
        <f t="shared" si="2"/>
        <v>8.5465779737034219E-9</v>
      </c>
      <c r="D25" s="55">
        <f t="shared" si="3"/>
        <v>1.1206173836616321E-5</v>
      </c>
      <c r="E25">
        <f t="shared" si="4"/>
        <v>1.0828579303408432E-4</v>
      </c>
      <c r="F25" s="18">
        <f>'All Experimental Diel Data'!P14</f>
        <v>185.47928029238122</v>
      </c>
      <c r="G25" s="56">
        <f t="shared" si="5"/>
        <v>1.8547928029238121E-4</v>
      </c>
      <c r="H25" s="22">
        <f>'MultiBox Eulerian Inverse Model'!O21</f>
        <v>1.3631056190112276E-5</v>
      </c>
      <c r="I25" s="22">
        <f t="shared" si="6"/>
        <v>-1.3631056190112276E-5</v>
      </c>
      <c r="J25" s="22">
        <f t="shared" si="7"/>
        <v>-2.7262112380224529E-5</v>
      </c>
      <c r="K25" s="53">
        <f t="shared" si="10"/>
        <v>1.7439159582355237E-4</v>
      </c>
      <c r="L25" s="17">
        <f>'All Experimental Diel Data'!E14</f>
        <v>2317.9585605847624</v>
      </c>
      <c r="M25">
        <f t="shared" si="8"/>
        <v>2.3179585605847624E-3</v>
      </c>
      <c r="N25" s="46">
        <f t="shared" si="0"/>
        <v>0.88526579105391412</v>
      </c>
      <c r="P25" s="22">
        <f t="shared" si="9"/>
        <v>-4.2613889963925112E-5</v>
      </c>
      <c r="Q25">
        <f t="shared" si="1"/>
        <v>-2.1306944981962556E-5</v>
      </c>
    </row>
    <row r="26" spans="1:17" x14ac:dyDescent="0.2">
      <c r="A26" s="54">
        <v>1.4583333333333333</v>
      </c>
      <c r="B26" s="15">
        <f>'All Experimental Diel Data'!M15</f>
        <v>8.1009206771850586</v>
      </c>
      <c r="C26" s="55">
        <f t="shared" si="2"/>
        <v>7.9264609211174502E-9</v>
      </c>
      <c r="D26" s="55">
        <f t="shared" si="3"/>
        <v>1.2082875249704077E-5</v>
      </c>
      <c r="E26">
        <f t="shared" si="4"/>
        <v>1.1441217350116092E-4</v>
      </c>
      <c r="F26" s="18">
        <f>'All Experimental Diel Data'!P15</f>
        <v>215.79587061794498</v>
      </c>
      <c r="G26" s="56">
        <f t="shared" si="5"/>
        <v>2.15795870617945E-4</v>
      </c>
      <c r="H26" s="22">
        <f>'MultiBox Eulerian Inverse Model'!O22</f>
        <v>1.3631273807020778E-5</v>
      </c>
      <c r="I26" s="22">
        <f t="shared" si="6"/>
        <v>-1.3631273807020778E-5</v>
      </c>
      <c r="J26" s="22"/>
      <c r="K26" s="53">
        <f t="shared" si="10"/>
        <v>2.1274161028951425E-4</v>
      </c>
      <c r="L26" s="17">
        <f>'All Experimental Diel Data'!E15</f>
        <v>2306.0103825105875</v>
      </c>
      <c r="M26">
        <f t="shared" si="8"/>
        <v>2.3060103825105873E-3</v>
      </c>
      <c r="N26" s="46">
        <f t="shared" si="0"/>
        <v>0.8779443147353545</v>
      </c>
    </row>
    <row r="28" spans="1:17" x14ac:dyDescent="0.2">
      <c r="A28" s="57" t="s">
        <v>453</v>
      </c>
      <c r="B28" s="57" t="s">
        <v>454</v>
      </c>
      <c r="C28" s="57" t="s">
        <v>451</v>
      </c>
    </row>
    <row r="29" spans="1:17" x14ac:dyDescent="0.2">
      <c r="A29" s="51">
        <f>SUM(Q14:Q25)*1025*1*1000</f>
        <v>3.0640009544473772</v>
      </c>
      <c r="B29" s="58">
        <f>'MultiBox Eulerian Inverse Model'!AF10</f>
        <v>-43.82081594519218</v>
      </c>
      <c r="C29" s="51">
        <f>((B29-A29)/B29)*100</f>
        <v>106.99211296813735</v>
      </c>
    </row>
    <row r="30" spans="1:17" x14ac:dyDescent="0.2">
      <c r="A30" t="s">
        <v>547</v>
      </c>
      <c r="B30" t="s">
        <v>548</v>
      </c>
      <c r="C30" t="s">
        <v>451</v>
      </c>
    </row>
    <row r="31" spans="1:17" x14ac:dyDescent="0.2">
      <c r="A31" s="51">
        <f>SUM(J14:J25)*1025*1*1000</f>
        <v>-68.649668624496741</v>
      </c>
      <c r="B31" s="51">
        <f>'MultiBox Eulerian Inverse Model'!AE10</f>
        <v>-110.3274089370048</v>
      </c>
      <c r="C31" s="51">
        <f>((B31-A31)/B31)*100</f>
        <v>37.776415411246894</v>
      </c>
    </row>
    <row r="34" spans="1:17" x14ac:dyDescent="0.2">
      <c r="A34" s="10" t="s">
        <v>84</v>
      </c>
    </row>
    <row r="35" spans="1:17" x14ac:dyDescent="0.2">
      <c r="A35" t="s">
        <v>99</v>
      </c>
      <c r="B35" t="s">
        <v>78</v>
      </c>
      <c r="C35" t="s">
        <v>440</v>
      </c>
      <c r="D35" t="s">
        <v>441</v>
      </c>
      <c r="E35" t="s">
        <v>442</v>
      </c>
      <c r="F35" t="s">
        <v>136</v>
      </c>
      <c r="G35" t="s">
        <v>443</v>
      </c>
      <c r="H35" t="s">
        <v>444</v>
      </c>
      <c r="I35" t="s">
        <v>450</v>
      </c>
      <c r="J35" t="s">
        <v>452</v>
      </c>
      <c r="K35" t="s">
        <v>445</v>
      </c>
      <c r="L35" t="s">
        <v>340</v>
      </c>
      <c r="M35" t="s">
        <v>446</v>
      </c>
      <c r="N35" t="s">
        <v>447</v>
      </c>
      <c r="P35" t="s">
        <v>448</v>
      </c>
      <c r="Q35" t="s">
        <v>449</v>
      </c>
    </row>
    <row r="36" spans="1:17" x14ac:dyDescent="0.2">
      <c r="A36" s="54">
        <v>41958.25</v>
      </c>
      <c r="B36">
        <f>'All Experimental Diel Data'!M19</f>
        <v>7.8885059356689453</v>
      </c>
      <c r="C36" s="55">
        <f>10^-B36</f>
        <v>1.2926890330101323E-8</v>
      </c>
      <c r="D36" s="55">
        <f>$B$9/C36</f>
        <v>7.4089309985478875E-6</v>
      </c>
      <c r="E36" s="22">
        <f>($B$6/(C36+$B$6))*$B$5</f>
        <v>7.8568383326145562E-5</v>
      </c>
      <c r="F36" s="17">
        <f>'All Experimental Diel Data'!P19</f>
        <v>206.49588448660711</v>
      </c>
      <c r="G36" s="56">
        <f>F36/1000000</f>
        <v>2.0649588448660712E-4</v>
      </c>
      <c r="H36" s="22">
        <f>'MultiBox Eulerian Inverse Model'!O27</f>
        <v>6.8481190921499409E-6</v>
      </c>
      <c r="I36" s="22">
        <f>H36/$B$10</f>
        <v>-6.8481190921499409E-6</v>
      </c>
      <c r="J36" s="22">
        <f>(A37-A36)*24*I36</f>
        <v>-1.36962381787193E-5</v>
      </c>
      <c r="K36" s="53">
        <f>G36</f>
        <v>2.0649588448660712E-4</v>
      </c>
      <c r="L36" s="17">
        <f>'All Experimental Diel Data'!E19</f>
        <v>2326.9968749999998</v>
      </c>
      <c r="M36">
        <f>L36*10^-6</f>
        <v>2.3269968749999996E-3</v>
      </c>
      <c r="N36" s="46">
        <f>((C36^2+C36*$B$7+$B$7*$B$8)/(C36*$B$7+2*$B$7*$B$8))</f>
        <v>0.92127368394638121</v>
      </c>
      <c r="P36" s="22">
        <f>(((K37-K36)/$B$10)-M36*(N37-N36)+N37*(E37+D37)-N36*(E36+D36))/(N37-0.5)</f>
        <v>5.2987086934708285E-5</v>
      </c>
      <c r="Q36">
        <f t="shared" ref="Q36:Q45" si="11">P36/2</f>
        <v>2.6493543467354143E-5</v>
      </c>
    </row>
    <row r="37" spans="1:17" x14ac:dyDescent="0.2">
      <c r="A37" s="54">
        <v>41958.333333333299</v>
      </c>
      <c r="B37">
        <f>'All Experimental Diel Data'!M20</f>
        <v>7.9729146957397461</v>
      </c>
      <c r="C37" s="55">
        <f t="shared" ref="C37:C46" si="12">10^-B37</f>
        <v>1.0643520580635482E-8</v>
      </c>
      <c r="D37" s="55">
        <f t="shared" ref="D37:D46" si="13">$B$9/C37</f>
        <v>8.9983796015545738E-6</v>
      </c>
      <c r="E37" s="22">
        <f t="shared" ref="E37:E46" si="14">($B$6/(C37+$B$6))*$B$5</f>
        <v>9.16845451950496E-5</v>
      </c>
      <c r="F37" s="17">
        <f>'All Experimental Diel Data'!P20</f>
        <v>198.85902991333518</v>
      </c>
      <c r="G37" s="56">
        <f t="shared" ref="G37:G46" si="15">F37/1000000</f>
        <v>1.9885902991333517E-4</v>
      </c>
      <c r="H37" s="22">
        <f>'MultiBox Eulerian Inverse Model'!O28</f>
        <v>2.0931779856993774E-5</v>
      </c>
      <c r="I37" s="22">
        <f t="shared" ref="I37:I46" si="16">H37/$B$10</f>
        <v>-2.0931779856993774E-5</v>
      </c>
      <c r="J37" s="22">
        <f t="shared" ref="J37:J45" si="17">(A38-A37)*24*I37</f>
        <v>-4.1863559748102465E-5</v>
      </c>
      <c r="K37" s="53">
        <f>G36+(A37-A36)*24*((H37+H36)/2)</f>
        <v>2.3427578342443182E-4</v>
      </c>
      <c r="L37" s="17">
        <f>'All Experimental Diel Data'!E20</f>
        <v>2326.3846798993563</v>
      </c>
      <c r="M37">
        <f t="shared" ref="M37:M46" si="18">L37*10^-6</f>
        <v>2.3263846798993564E-3</v>
      </c>
      <c r="N37" s="46">
        <f t="shared" ref="N37:N46" si="19">((C37^2+C37*$B$7+$B$7*$B$8)/(C37*$B$7+2*$B$7*$B$8))</f>
        <v>0.90523627961818587</v>
      </c>
      <c r="P37" s="22">
        <f t="shared" ref="P37:P45" si="20">(((K38-K37)/$B$10)-M37*(N38-N37)+N38*(E38+D38)-N37*(E37+D37))/(N38-0.5)</f>
        <v>5.7006756445598742E-5</v>
      </c>
      <c r="Q37">
        <f t="shared" si="11"/>
        <v>2.8503378222799371E-5</v>
      </c>
    </row>
    <row r="38" spans="1:17" x14ac:dyDescent="0.2">
      <c r="A38" s="54">
        <v>41958.416666666701</v>
      </c>
      <c r="B38">
        <f>'All Experimental Diel Data'!M21</f>
        <v>8.0192975997924805</v>
      </c>
      <c r="C38" s="55">
        <f t="shared" si="12"/>
        <v>9.5653837984380248E-9</v>
      </c>
      <c r="D38" s="55">
        <f t="shared" si="13"/>
        <v>1.0012608014448524E-5</v>
      </c>
      <c r="E38" s="22">
        <f t="shared" si="14"/>
        <v>9.9529851935551051E-5</v>
      </c>
      <c r="F38" s="17">
        <f>'All Experimental Diel Data'!P21</f>
        <v>237.58389261744966</v>
      </c>
      <c r="G38" s="56">
        <f t="shared" si="15"/>
        <v>2.3758389261744966E-4</v>
      </c>
      <c r="H38" s="22">
        <f>'MultiBox Eulerian Inverse Model'!O29</f>
        <v>2.0933739470588204E-5</v>
      </c>
      <c r="I38" s="22">
        <f t="shared" si="16"/>
        <v>-2.0933739470588204E-5</v>
      </c>
      <c r="J38" s="22">
        <f t="shared" si="17"/>
        <v>-4.1867537054069596E-5</v>
      </c>
      <c r="K38" s="53">
        <f t="shared" ref="K38:K46" si="21">G37+(A38-A37)*24*((H38+H37)/2)</f>
        <v>2.4072454927503365E-4</v>
      </c>
      <c r="L38" s="17">
        <f>'All Experimental Diel Data'!E21</f>
        <v>2302.3859060402688</v>
      </c>
      <c r="M38">
        <f t="shared" si="18"/>
        <v>2.3023859060402685E-3</v>
      </c>
      <c r="N38" s="46">
        <f t="shared" si="19"/>
        <v>0.89576775319984625</v>
      </c>
      <c r="P38" s="22">
        <f t="shared" si="20"/>
        <v>-5.4323946777833102E-5</v>
      </c>
      <c r="Q38">
        <f t="shared" si="11"/>
        <v>-2.7161973388916551E-5</v>
      </c>
    </row>
    <row r="39" spans="1:17" x14ac:dyDescent="0.2">
      <c r="A39" s="54">
        <v>41958.500000115702</v>
      </c>
      <c r="B39">
        <f>'All Experimental Diel Data'!M22</f>
        <v>8.0465326309204102</v>
      </c>
      <c r="C39" s="55">
        <f t="shared" si="12"/>
        <v>8.9839508869669858E-9</v>
      </c>
      <c r="D39" s="55">
        <f t="shared" si="13"/>
        <v>1.0660614654567687E-5</v>
      </c>
      <c r="E39" s="22">
        <f t="shared" si="14"/>
        <v>1.0434501788830923E-4</v>
      </c>
      <c r="F39" s="17">
        <f>'All Experimental Diel Data'!P22</f>
        <v>254.36013986013984</v>
      </c>
      <c r="G39" s="56">
        <f t="shared" si="15"/>
        <v>2.5436013986013982E-4</v>
      </c>
      <c r="H39" s="22">
        <f>'MultiBox Eulerian Inverse Model'!O30</f>
        <v>2.0933741444128385E-5</v>
      </c>
      <c r="I39" s="22">
        <f t="shared" si="16"/>
        <v>-2.0933741444128385E-5</v>
      </c>
      <c r="J39" s="22">
        <f t="shared" si="17"/>
        <v>-8.3735023919874813E-5</v>
      </c>
      <c r="K39" s="53">
        <f t="shared" si="21"/>
        <v>2.7945143164506215E-4</v>
      </c>
      <c r="L39" s="17">
        <f>'All Experimental Diel Data'!E22</f>
        <v>2298.2571188811185</v>
      </c>
      <c r="M39">
        <f t="shared" si="18"/>
        <v>2.2982571188811182E-3</v>
      </c>
      <c r="N39" s="46">
        <f t="shared" si="19"/>
        <v>0.88998568264903222</v>
      </c>
      <c r="P39" s="22">
        <f t="shared" si="20"/>
        <v>-1.2620391416452169E-4</v>
      </c>
      <c r="Q39">
        <f t="shared" si="11"/>
        <v>-6.3101957082260847E-5</v>
      </c>
    </row>
    <row r="40" spans="1:17" x14ac:dyDescent="0.2">
      <c r="A40" s="54">
        <v>41958.666666898098</v>
      </c>
      <c r="B40">
        <f>'All Experimental Diel Data'!M23</f>
        <v>8.0614633560180664</v>
      </c>
      <c r="C40" s="55">
        <f t="shared" si="12"/>
        <v>8.6803381532529341E-9</v>
      </c>
      <c r="D40" s="55">
        <f t="shared" si="13"/>
        <v>1.103349164405829E-5</v>
      </c>
      <c r="E40" s="22">
        <f t="shared" si="14"/>
        <v>1.0704936458002899E-4</v>
      </c>
      <c r="F40" s="17">
        <f>'All Experimental Diel Data'!P23</f>
        <v>261.09479865771812</v>
      </c>
      <c r="G40" s="56">
        <f t="shared" si="15"/>
        <v>2.610947986577181E-4</v>
      </c>
      <c r="H40" s="22">
        <f>'MultiBox Eulerian Inverse Model'!O31</f>
        <v>2.0917540317582156E-5</v>
      </c>
      <c r="I40" s="22">
        <f t="shared" si="16"/>
        <v>-2.0917540317582156E-5</v>
      </c>
      <c r="J40" s="22">
        <f t="shared" si="17"/>
        <v>-4.183510973730958E-5</v>
      </c>
      <c r="K40" s="53">
        <f t="shared" si="21"/>
        <v>3.3806276150442286E-4</v>
      </c>
      <c r="L40" s="17">
        <f>'All Experimental Diel Data'!E23</f>
        <v>2286.6261744966446</v>
      </c>
      <c r="M40">
        <f t="shared" si="18"/>
        <v>2.2866261744966445E-3</v>
      </c>
      <c r="N40" s="46">
        <f t="shared" si="19"/>
        <v>0.8867456528076918</v>
      </c>
      <c r="P40" s="22">
        <f t="shared" si="20"/>
        <v>1.1071339991355152E-4</v>
      </c>
      <c r="Q40">
        <f t="shared" si="11"/>
        <v>5.5356699956775758E-5</v>
      </c>
    </row>
    <row r="41" spans="1:17" x14ac:dyDescent="0.2">
      <c r="A41" s="54">
        <v>41958.750000289401</v>
      </c>
      <c r="B41">
        <f>'All Experimental Diel Data'!M24</f>
        <v>8.0350542068481445</v>
      </c>
      <c r="C41" s="55">
        <f t="shared" si="12"/>
        <v>9.2245628277585298E-9</v>
      </c>
      <c r="D41" s="55">
        <f t="shared" si="13"/>
        <v>1.038254498016019E-5</v>
      </c>
      <c r="E41" s="22">
        <f t="shared" si="14"/>
        <v>1.0229697864690898E-4</v>
      </c>
      <c r="F41" s="17">
        <f>'All Experimental Diel Data'!P24</f>
        <v>226.4471476510067</v>
      </c>
      <c r="G41" s="56">
        <f t="shared" si="15"/>
        <v>2.2644714765100669E-4</v>
      </c>
      <c r="H41" s="22">
        <f>'MultiBox Eulerian Inverse Model'!O32</f>
        <v>-4.5747963747088628E-6</v>
      </c>
      <c r="I41" s="22">
        <f t="shared" si="16"/>
        <v>4.5747963747088628E-6</v>
      </c>
      <c r="J41" s="22">
        <f t="shared" si="17"/>
        <v>1.8299198205309304E-5</v>
      </c>
      <c r="K41" s="53">
        <f t="shared" si="21"/>
        <v>2.7743755396925378E-4</v>
      </c>
      <c r="L41" s="17">
        <f>'All Experimental Diel Data'!E24</f>
        <v>2301.4058724832212</v>
      </c>
      <c r="M41">
        <f t="shared" si="18"/>
        <v>2.3014058724832209E-3</v>
      </c>
      <c r="N41" s="46">
        <f t="shared" si="19"/>
        <v>0.89244273658849416</v>
      </c>
      <c r="P41" s="22">
        <f t="shared" si="20"/>
        <v>2.5888855400456821E-5</v>
      </c>
      <c r="Q41">
        <f t="shared" si="11"/>
        <v>1.294442770022841E-5</v>
      </c>
    </row>
    <row r="42" spans="1:17" x14ac:dyDescent="0.2">
      <c r="A42" s="54">
        <v>41958.916667071797</v>
      </c>
      <c r="B42">
        <f>'All Experimental Diel Data'!M25</f>
        <v>7.9270315170288086</v>
      </c>
      <c r="C42" s="55">
        <f t="shared" si="12"/>
        <v>1.1829557047566452E-8</v>
      </c>
      <c r="D42" s="55">
        <f t="shared" si="13"/>
        <v>8.0961982005251078E-6</v>
      </c>
      <c r="E42" s="22">
        <f t="shared" si="14"/>
        <v>8.4368737198161175E-5</v>
      </c>
      <c r="F42" s="17">
        <f>'All Experimental Diel Data'!P25</f>
        <v>168.95454545454544</v>
      </c>
      <c r="G42" s="56">
        <f t="shared" si="15"/>
        <v>1.6895454545454543E-4</v>
      </c>
      <c r="H42" s="22">
        <f>'MultiBox Eulerian Inverse Model'!O33</f>
        <v>-8.2761306654982646E-6</v>
      </c>
      <c r="I42" s="22">
        <f t="shared" si="16"/>
        <v>8.2761306654982646E-6</v>
      </c>
      <c r="J42" s="22">
        <f t="shared" si="17"/>
        <v>1.6552272825174717E-5</v>
      </c>
      <c r="K42" s="53">
        <f t="shared" si="21"/>
        <v>2.0074527572389993E-4</v>
      </c>
      <c r="L42" s="17">
        <f>'All Experimental Diel Data'!E25</f>
        <v>2330.1319720279721</v>
      </c>
      <c r="M42">
        <f t="shared" si="18"/>
        <v>2.330131972027972E-3</v>
      </c>
      <c r="N42" s="46">
        <f t="shared" si="19"/>
        <v>0.91414104341721558</v>
      </c>
      <c r="P42" s="22">
        <f t="shared" si="20"/>
        <v>1.1057651314858065E-4</v>
      </c>
      <c r="Q42">
        <f t="shared" si="11"/>
        <v>5.5288256574290327E-5</v>
      </c>
    </row>
    <row r="43" spans="1:17" x14ac:dyDescent="0.2">
      <c r="A43" s="54">
        <v>41959.000000462998</v>
      </c>
      <c r="B43">
        <f>'All Experimental Diel Data'!M26</f>
        <v>7.9227919578552246</v>
      </c>
      <c r="C43" s="55">
        <f t="shared" si="12"/>
        <v>1.1945602032636397E-8</v>
      </c>
      <c r="D43" s="55">
        <f t="shared" si="13"/>
        <v>8.0175480666317811E-6</v>
      </c>
      <c r="E43" s="22">
        <f t="shared" si="14"/>
        <v>8.3715157434791746E-5</v>
      </c>
      <c r="F43" s="17">
        <f>'All Experimental Diel Data'!P26</f>
        <v>172.66783216783216</v>
      </c>
      <c r="G43" s="56">
        <f t="shared" si="15"/>
        <v>1.7266783216783217E-4</v>
      </c>
      <c r="H43" s="22">
        <f>'MultiBox Eulerian Inverse Model'!O34</f>
        <v>-8.2761306654982646E-6</v>
      </c>
      <c r="I43" s="22">
        <f t="shared" si="16"/>
        <v>8.2761306654982646E-6</v>
      </c>
      <c r="J43" s="22">
        <f t="shared" si="17"/>
        <v>1.6552272825174717E-5</v>
      </c>
      <c r="K43" s="53">
        <f t="shared" si="21"/>
        <v>1.5240227262937071E-4</v>
      </c>
      <c r="L43" s="17">
        <f>'All Experimental Diel Data'!E26</f>
        <v>2332.7956363636367</v>
      </c>
      <c r="M43">
        <f t="shared" si="18"/>
        <v>2.3327956363636366E-3</v>
      </c>
      <c r="N43" s="46">
        <f t="shared" si="19"/>
        <v>0.9149411236801519</v>
      </c>
      <c r="P43" s="22">
        <f t="shared" si="20"/>
        <v>-2.0706443062116683E-5</v>
      </c>
      <c r="Q43">
        <f t="shared" si="11"/>
        <v>-1.0353221531058342E-5</v>
      </c>
    </row>
    <row r="44" spans="1:17" x14ac:dyDescent="0.2">
      <c r="A44" s="54">
        <v>41959.0833338542</v>
      </c>
      <c r="B44">
        <f>'All Experimental Diel Data'!M27</f>
        <v>7.9142756462097168</v>
      </c>
      <c r="C44" s="55">
        <f t="shared" si="12"/>
        <v>1.21821615310263E-8</v>
      </c>
      <c r="D44" s="55">
        <f t="shared" si="13"/>
        <v>7.8618591813605668E-6</v>
      </c>
      <c r="E44" s="22">
        <f t="shared" si="14"/>
        <v>8.2413698509238242E-5</v>
      </c>
      <c r="F44" s="17">
        <f>'All Experimental Diel Data'!P27</f>
        <v>170.8111888111888</v>
      </c>
      <c r="G44" s="56">
        <f t="shared" si="15"/>
        <v>1.7081118881118881E-4</v>
      </c>
      <c r="H44" s="22">
        <f>'MultiBox Eulerian Inverse Model'!O35</f>
        <v>-8.2761306654982646E-6</v>
      </c>
      <c r="I44" s="22">
        <f t="shared" si="16"/>
        <v>8.2761306654982646E-6</v>
      </c>
      <c r="J44" s="22">
        <f t="shared" si="17"/>
        <v>1.6552272825174717E-5</v>
      </c>
      <c r="K44" s="53">
        <f t="shared" si="21"/>
        <v>1.5611555934265744E-4</v>
      </c>
      <c r="L44" s="17">
        <f>'All Experimental Diel Data'!E27</f>
        <v>2336.9149090909091</v>
      </c>
      <c r="M44">
        <f t="shared" si="18"/>
        <v>2.3369149090909092E-3</v>
      </c>
      <c r="N44" s="46">
        <f t="shared" si="19"/>
        <v>0.91653687569377573</v>
      </c>
      <c r="P44" s="22">
        <f t="shared" si="20"/>
        <v>-2.3671255915204241E-5</v>
      </c>
      <c r="Q44">
        <f t="shared" si="11"/>
        <v>-1.183562795760212E-5</v>
      </c>
    </row>
    <row r="45" spans="1:17" x14ac:dyDescent="0.2">
      <c r="A45" s="54">
        <v>41959.166667245401</v>
      </c>
      <c r="B45">
        <f>'All Experimental Diel Data'!M28</f>
        <v>7.8934955596923828</v>
      </c>
      <c r="C45" s="55">
        <f t="shared" si="12"/>
        <v>1.2779222752146926E-8</v>
      </c>
      <c r="D45" s="55">
        <f t="shared" si="13"/>
        <v>7.4945433176228491E-6</v>
      </c>
      <c r="E45" s="22">
        <f t="shared" si="14"/>
        <v>7.9302058804119974E-5</v>
      </c>
      <c r="F45" s="17">
        <f>'All Experimental Diel Data'!P28</f>
        <v>160.29020979020979</v>
      </c>
      <c r="G45" s="56">
        <f t="shared" si="15"/>
        <v>1.6029020979020978E-4</v>
      </c>
      <c r="H45" s="22">
        <f>'MultiBox Eulerian Inverse Model'!O36</f>
        <v>-8.2761306654982646E-6</v>
      </c>
      <c r="I45" s="22">
        <f t="shared" si="16"/>
        <v>8.2761306654982646E-6</v>
      </c>
      <c r="J45" s="22">
        <f t="shared" si="17"/>
        <v>1.6552272825174717E-5</v>
      </c>
      <c r="K45" s="53">
        <f t="shared" si="21"/>
        <v>1.5425891598601409E-4</v>
      </c>
      <c r="L45" s="17">
        <f>'All Experimental Diel Data'!E28</f>
        <v>2336.4594125874128</v>
      </c>
      <c r="M45">
        <f t="shared" si="18"/>
        <v>2.3364594125874125E-3</v>
      </c>
      <c r="N45" s="46">
        <f t="shared" si="19"/>
        <v>0.92036719506630094</v>
      </c>
      <c r="P45" s="22">
        <f t="shared" si="20"/>
        <v>4.3059338543995276E-5</v>
      </c>
      <c r="Q45">
        <f t="shared" si="11"/>
        <v>2.1529669271997638E-5</v>
      </c>
    </row>
    <row r="46" spans="1:17" x14ac:dyDescent="0.2">
      <c r="A46" s="54">
        <v>41959.250000636603</v>
      </c>
      <c r="B46">
        <f>'All Experimental Diel Data'!M29</f>
        <v>7.9325098991394043</v>
      </c>
      <c r="C46" s="55">
        <f t="shared" si="12"/>
        <v>1.168127103723274E-8</v>
      </c>
      <c r="D46" s="55">
        <f t="shared" si="13"/>
        <v>8.1989740822078657E-6</v>
      </c>
      <c r="E46" s="22">
        <f t="shared" si="14"/>
        <v>8.5218904206188801E-5</v>
      </c>
      <c r="F46" s="17">
        <f>'All Experimental Diel Data'!P29</f>
        <v>176.73999720201454</v>
      </c>
      <c r="G46" s="56">
        <f t="shared" si="15"/>
        <v>1.7673999720201454E-4</v>
      </c>
      <c r="H46" s="22">
        <f>'MultiBox Eulerian Inverse Model'!O37</f>
        <v>6.8481190921499409E-6</v>
      </c>
      <c r="I46" s="22">
        <f t="shared" si="16"/>
        <v>-6.8481190921499409E-6</v>
      </c>
      <c r="K46" s="53">
        <f t="shared" si="21"/>
        <v>1.5886219722522537E-4</v>
      </c>
      <c r="L46" s="17">
        <f>'All Experimental Diel Data'!E29</f>
        <v>2335.4293228875208</v>
      </c>
      <c r="M46">
        <f t="shared" si="18"/>
        <v>2.3354293228875205E-3</v>
      </c>
      <c r="N46" s="46">
        <f t="shared" si="19"/>
        <v>0.91310154488068951</v>
      </c>
    </row>
    <row r="48" spans="1:17" x14ac:dyDescent="0.2">
      <c r="A48" s="57" t="s">
        <v>453</v>
      </c>
      <c r="B48" s="57" t="s">
        <v>454</v>
      </c>
      <c r="C48" s="57" t="s">
        <v>451</v>
      </c>
    </row>
    <row r="49" spans="1:17" x14ac:dyDescent="0.2">
      <c r="A49" s="51">
        <f>SUM(Q36:Q45)*1025*1*1000</f>
        <v>89.854775114447989</v>
      </c>
      <c r="B49" s="58">
        <f>'MultiBox Eulerian Inverse Model'!AF27</f>
        <v>-66.420701351356158</v>
      </c>
      <c r="C49" s="51">
        <f>((B49-A49)/B49)*100</f>
        <v>235.28128021281933</v>
      </c>
    </row>
    <row r="50" spans="1:17" x14ac:dyDescent="0.2">
      <c r="A50" t="s">
        <v>547</v>
      </c>
      <c r="B50" t="s">
        <v>548</v>
      </c>
      <c r="C50" t="s">
        <v>451</v>
      </c>
    </row>
    <row r="51" spans="1:17" x14ac:dyDescent="0.2">
      <c r="A51" s="51">
        <f>SUM(J36:J45)*1025*1*1000</f>
        <v>-141.95140861036921</v>
      </c>
      <c r="B51" s="51">
        <f>'MultiBox Eulerian Inverse Model'!AE27</f>
        <v>292.23336315847268</v>
      </c>
      <c r="C51" s="51">
        <f>((B51-A51)/B51)*100</f>
        <v>148.57467575780922</v>
      </c>
    </row>
    <row r="54" spans="1:17" x14ac:dyDescent="0.2">
      <c r="A54" s="10" t="s">
        <v>85</v>
      </c>
    </row>
    <row r="55" spans="1:17" x14ac:dyDescent="0.2">
      <c r="A55" t="s">
        <v>99</v>
      </c>
      <c r="B55" t="s">
        <v>78</v>
      </c>
      <c r="C55" t="s">
        <v>440</v>
      </c>
      <c r="D55" t="s">
        <v>441</v>
      </c>
      <c r="E55" t="s">
        <v>442</v>
      </c>
      <c r="F55" t="s">
        <v>136</v>
      </c>
      <c r="G55" t="s">
        <v>443</v>
      </c>
      <c r="H55" t="s">
        <v>444</v>
      </c>
      <c r="I55" t="s">
        <v>450</v>
      </c>
      <c r="J55" t="s">
        <v>452</v>
      </c>
      <c r="K55" t="s">
        <v>445</v>
      </c>
      <c r="L55" t="s">
        <v>340</v>
      </c>
      <c r="M55" t="s">
        <v>446</v>
      </c>
      <c r="N55" t="s">
        <v>447</v>
      </c>
      <c r="P55" t="s">
        <v>448</v>
      </c>
      <c r="Q55" t="s">
        <v>449</v>
      </c>
    </row>
    <row r="56" spans="1:17" x14ac:dyDescent="0.2">
      <c r="A56" s="20">
        <v>42300.260416666664</v>
      </c>
      <c r="B56">
        <f>'All Experimental Diel Data'!M36</f>
        <v>8.0434169769287109</v>
      </c>
      <c r="C56" s="55">
        <f>10^-B56</f>
        <v>9.0486340184798729E-9</v>
      </c>
      <c r="D56" s="55">
        <f>$B$9/C56</f>
        <v>1.0584408462748973E-5</v>
      </c>
      <c r="E56" s="22">
        <f>($B$6/(C56+$B$6))*$B$5</f>
        <v>1.0378643206405689E-4</v>
      </c>
      <c r="F56" s="17">
        <f>'All Experimental Diel Data'!P36</f>
        <v>183.40102266850664</v>
      </c>
      <c r="G56" s="56">
        <f>F56/1000000</f>
        <v>1.8340102266850664E-4</v>
      </c>
      <c r="H56" s="22">
        <f>'MultiBox Eulerian Inverse Model'!O42</f>
        <v>9.7330058908317353E-7</v>
      </c>
      <c r="I56" s="22">
        <f>H56/$B$10</f>
        <v>-9.7330058908317353E-7</v>
      </c>
      <c r="J56" s="22">
        <f>(A57-A56)*24*I56</f>
        <v>-1.7032760310088609E-6</v>
      </c>
      <c r="K56" s="53">
        <f>G56</f>
        <v>1.8340102266850664E-4</v>
      </c>
      <c r="L56" s="17">
        <f>'All Experimental Diel Data'!E36</f>
        <v>2329.5669560263605</v>
      </c>
      <c r="M56">
        <f>L56*10^-6</f>
        <v>2.3295669560263604E-3</v>
      </c>
      <c r="N56" s="46">
        <f>((C56^2+C56*$B$7+$B$7*$B$8)/(C56*$B$7+2*$B$7*$B$8))</f>
        <v>0.89065552059911879</v>
      </c>
      <c r="P56" s="22">
        <f>(((K57-K56)/$B$10)-M56*(N57-N56)+N57*(E57+D57)-N56*(E56+D56))/(N57-0.5)</f>
        <v>1.4479198061353083E-5</v>
      </c>
      <c r="Q56">
        <f t="shared" ref="Q56:Q66" si="22">P56/2</f>
        <v>7.2395990306765415E-6</v>
      </c>
    </row>
    <row r="57" spans="1:17" x14ac:dyDescent="0.2">
      <c r="A57" s="20">
        <v>42300.333333333336</v>
      </c>
      <c r="B57">
        <f>'All Experimental Diel Data'!M37</f>
        <v>8.0678443908691406</v>
      </c>
      <c r="C57" s="55">
        <f t="shared" ref="C57:C67" si="23">10^-B57</f>
        <v>8.5537314097355887E-9</v>
      </c>
      <c r="D57" s="55">
        <f t="shared" ref="D57:D67" si="24">$B$9/C57</f>
        <v>1.1196802178346302E-5</v>
      </c>
      <c r="E57" s="22">
        <f t="shared" ref="E57:E67" si="25">($B$6/(C57+$B$6))*$B$5</f>
        <v>1.0821894693695777E-4</v>
      </c>
      <c r="F57" s="17">
        <f>'All Experimental Diel Data'!P37</f>
        <v>196.36012403203611</v>
      </c>
      <c r="G57" s="56">
        <f t="shared" ref="G57:G67" si="26">F57/1000000</f>
        <v>1.963601240320361E-4</v>
      </c>
      <c r="H57" s="22">
        <f>'MultiBox Eulerian Inverse Model'!O43</f>
        <v>1.1197117604489821E-5</v>
      </c>
      <c r="I57" s="22">
        <f t="shared" ref="I57:I67" si="27">H57/$B$10</f>
        <v>-1.1197117604489821E-5</v>
      </c>
      <c r="J57" s="22">
        <f t="shared" ref="J57:J66" si="28">(A58-A57)*24*I57</f>
        <v>-2.2394235207676126E-5</v>
      </c>
      <c r="K57" s="53">
        <f>G56+(A57-A56)*24*((H57+H56)/2)</f>
        <v>1.9405013858859142E-4</v>
      </c>
      <c r="L57" s="17">
        <f>'All Experimental Diel Data'!E37</f>
        <v>2334.2406354154577</v>
      </c>
      <c r="M57">
        <f t="shared" ref="M57:M67" si="29">L57*10^-6</f>
        <v>2.3342406354154577E-3</v>
      </c>
      <c r="N57" s="46">
        <f t="shared" ref="N57:N67" si="30">((C57^2+C57*$B$7+$B$7*$B$8)/(C57*$B$7+2*$B$7*$B$8))</f>
        <v>0.88534577617373722</v>
      </c>
      <c r="P57" s="22">
        <f t="shared" ref="P57:P66" si="31">(((K58-K57)/$B$10)-M57*(N58-N57)+N58*(E58+D58)-N57*(E57+D57))/(N58-0.5)</f>
        <v>-1.942887286182366E-5</v>
      </c>
      <c r="Q57">
        <f t="shared" si="22"/>
        <v>-9.71443643091183E-6</v>
      </c>
    </row>
    <row r="58" spans="1:17" x14ac:dyDescent="0.2">
      <c r="A58" s="20">
        <v>42300.416666666664</v>
      </c>
      <c r="B58">
        <f>'All Experimental Diel Data'!M38</f>
        <v>8.0932836532592773</v>
      </c>
      <c r="C58" s="55">
        <f t="shared" si="23"/>
        <v>8.0670796831893119E-9</v>
      </c>
      <c r="D58" s="55">
        <f t="shared" si="24"/>
        <v>1.1872256410346041E-5</v>
      </c>
      <c r="E58" s="22">
        <f t="shared" si="25"/>
        <v>1.1296294098471936E-4</v>
      </c>
      <c r="F58" s="17">
        <f>'All Experimental Diel Data'!P38</f>
        <v>216.81693098303583</v>
      </c>
      <c r="G58" s="56">
        <f t="shared" si="26"/>
        <v>2.1681693098303583E-4</v>
      </c>
      <c r="H58" s="22">
        <f>'MultiBox Eulerian Inverse Model'!O44</f>
        <v>1.1197117959202635E-5</v>
      </c>
      <c r="I58" s="22">
        <f t="shared" si="27"/>
        <v>-1.1197117959202635E-5</v>
      </c>
      <c r="J58" s="22">
        <f t="shared" si="28"/>
        <v>-2.2394235919057028E-5</v>
      </c>
      <c r="K58" s="53">
        <f t="shared" ref="K58:K67" si="32">G57+(A58-A57)*24*((H58+H57)/2)</f>
        <v>2.1875435959442505E-4</v>
      </c>
      <c r="L58" s="17">
        <f>'All Experimental Diel Data'!E38</f>
        <v>2321.6077802950758</v>
      </c>
      <c r="M58">
        <f t="shared" si="29"/>
        <v>2.3216077802950758E-3</v>
      </c>
      <c r="N58" s="46">
        <f t="shared" si="30"/>
        <v>0.87967480166806467</v>
      </c>
      <c r="P58" s="22">
        <f t="shared" si="31"/>
        <v>-7.7473916520954625E-5</v>
      </c>
      <c r="Q58">
        <f t="shared" si="22"/>
        <v>-3.8736958260477312E-5</v>
      </c>
    </row>
    <row r="59" spans="1:17" x14ac:dyDescent="0.2">
      <c r="A59" s="20">
        <v>42300.5</v>
      </c>
      <c r="B59">
        <f>'All Experimental Diel Data'!M39</f>
        <v>8.0798063278198242</v>
      </c>
      <c r="C59" s="55">
        <f t="shared" si="23"/>
        <v>8.3213477610885543E-9</v>
      </c>
      <c r="D59" s="55">
        <f t="shared" si="24"/>
        <v>1.1509486351401797E-5</v>
      </c>
      <c r="E59" s="22">
        <f t="shared" si="25"/>
        <v>1.1043355301549962E-4</v>
      </c>
      <c r="F59" s="17">
        <f>'All Experimental Diel Data'!P39</f>
        <v>224.11229311154705</v>
      </c>
      <c r="G59" s="56">
        <f t="shared" si="26"/>
        <v>2.2411229311154705E-4</v>
      </c>
      <c r="H59" s="22">
        <f>'MultiBox Eulerian Inverse Model'!O45</f>
        <v>1.1197117959203533E-5</v>
      </c>
      <c r="I59" s="22">
        <f t="shared" si="27"/>
        <v>-1.1197117959203533E-5</v>
      </c>
      <c r="J59" s="22">
        <f t="shared" si="28"/>
        <v>-2.2394235919058824E-5</v>
      </c>
      <c r="K59" s="53">
        <f t="shared" si="32"/>
        <v>2.3921116690209376E-4</v>
      </c>
      <c r="L59" s="17">
        <f>'All Experimental Diel Data'!E39</f>
        <v>2292.788483324583</v>
      </c>
      <c r="M59">
        <f t="shared" si="29"/>
        <v>2.2927884833245831E-3</v>
      </c>
      <c r="N59" s="46">
        <f t="shared" si="30"/>
        <v>0.88269711614058466</v>
      </c>
      <c r="P59" s="22">
        <f t="shared" si="31"/>
        <v>1.6368398121952699E-5</v>
      </c>
      <c r="Q59">
        <f t="shared" si="22"/>
        <v>8.1841990609763494E-6</v>
      </c>
    </row>
    <row r="60" spans="1:17" x14ac:dyDescent="0.2">
      <c r="A60" s="20">
        <v>42300.583333333336</v>
      </c>
      <c r="B60">
        <f>'All Experimental Diel Data'!M40</f>
        <v>8.0997104644775391</v>
      </c>
      <c r="C60" s="55">
        <f t="shared" si="23"/>
        <v>7.9485797417690216E-9</v>
      </c>
      <c r="D60" s="55">
        <f t="shared" si="24"/>
        <v>1.2049251764844374E-5</v>
      </c>
      <c r="E60" s="22">
        <f t="shared" si="25"/>
        <v>1.1418175492451037E-4</v>
      </c>
      <c r="F60" s="17">
        <f>'All Experimental Diel Data'!P40</f>
        <v>221.6535489647701</v>
      </c>
      <c r="G60" s="56">
        <f t="shared" si="26"/>
        <v>2.2165354896477009E-4</v>
      </c>
      <c r="H60" s="22">
        <f>'MultiBox Eulerian Inverse Model'!O46</f>
        <v>1.119711795918946E-5</v>
      </c>
      <c r="I60" s="22">
        <f t="shared" si="27"/>
        <v>-1.119711795918946E-5</v>
      </c>
      <c r="J60" s="22">
        <f t="shared" si="28"/>
        <v>-2.2394235917075405E-5</v>
      </c>
      <c r="K60" s="53">
        <f t="shared" si="32"/>
        <v>2.4650652903059181E-4</v>
      </c>
      <c r="L60" s="17">
        <f>'All Experimental Diel Data'!E40</f>
        <v>2312.8589589113776</v>
      </c>
      <c r="M60">
        <f t="shared" si="29"/>
        <v>2.3128589589113775E-3</v>
      </c>
      <c r="N60" s="46">
        <f t="shared" si="30"/>
        <v>0.87821939905041413</v>
      </c>
      <c r="P60" s="22">
        <f t="shared" si="31"/>
        <v>-1.3129316170491851E-5</v>
      </c>
      <c r="Q60">
        <f t="shared" si="22"/>
        <v>-6.5646580852459253E-6</v>
      </c>
    </row>
    <row r="61" spans="1:17" x14ac:dyDescent="0.2">
      <c r="A61" s="20">
        <v>42300.666666666664</v>
      </c>
      <c r="B61">
        <f>'All Experimental Diel Data'!M41</f>
        <v>8.0888223648071289</v>
      </c>
      <c r="C61" s="55">
        <f t="shared" si="23"/>
        <v>8.1503758264520887E-9</v>
      </c>
      <c r="D61" s="55">
        <f t="shared" si="24"/>
        <v>1.175092296611405E-5</v>
      </c>
      <c r="E61" s="22">
        <f t="shared" si="25"/>
        <v>1.1212166787721446E-4</v>
      </c>
      <c r="F61" s="17">
        <f>'All Experimental Diel Data'!P41</f>
        <v>217.05323645605986</v>
      </c>
      <c r="G61" s="56">
        <f t="shared" si="26"/>
        <v>2.1705323645605988E-4</v>
      </c>
      <c r="H61" s="22">
        <f>'MultiBox Eulerian Inverse Model'!O47</f>
        <v>1.1197117460225989E-5</v>
      </c>
      <c r="I61" s="22">
        <f t="shared" si="27"/>
        <v>-1.1197117460225989E-5</v>
      </c>
      <c r="J61" s="22">
        <f t="shared" si="28"/>
        <v>-1.9594955556698996E-5</v>
      </c>
      <c r="K61" s="53">
        <f t="shared" si="32"/>
        <v>2.4404778438288203E-4</v>
      </c>
      <c r="L61" s="17">
        <f>'All Experimental Diel Data'!E41</f>
        <v>2297.7579909937281</v>
      </c>
      <c r="M61">
        <f t="shared" si="29"/>
        <v>2.2977579909937281E-3</v>
      </c>
      <c r="N61" s="46">
        <f t="shared" si="30"/>
        <v>0.88067971700557546</v>
      </c>
      <c r="P61" s="22">
        <f t="shared" si="31"/>
        <v>2.7382874890238282E-5</v>
      </c>
      <c r="Q61">
        <f t="shared" si="22"/>
        <v>1.3691437445119141E-5</v>
      </c>
    </row>
    <row r="62" spans="1:17" x14ac:dyDescent="0.2">
      <c r="A62" s="20">
        <v>42300.739583333336</v>
      </c>
      <c r="B62">
        <f>'All Experimental Diel Data'!M42</f>
        <v>8.0795230865478516</v>
      </c>
      <c r="C62" s="55">
        <f t="shared" si="23"/>
        <v>8.3267766071266E-9</v>
      </c>
      <c r="D62" s="55">
        <f t="shared" si="24"/>
        <v>1.150198245976079E-5</v>
      </c>
      <c r="E62" s="22">
        <f t="shared" si="25"/>
        <v>1.1038078283097139E-4</v>
      </c>
      <c r="F62" s="17">
        <f>'All Experimental Diel Data'!P42</f>
        <v>206.4929874121699</v>
      </c>
      <c r="G62" s="56">
        <f t="shared" si="26"/>
        <v>2.0649298741216989E-4</v>
      </c>
      <c r="H62" s="22">
        <f>'MultiBox Eulerian Inverse Model'!O48</f>
        <v>4.9911273690119758E-7</v>
      </c>
      <c r="I62" s="22">
        <f t="shared" si="27"/>
        <v>-4.9911273690119758E-7</v>
      </c>
      <c r="J62" s="22">
        <f t="shared" si="28"/>
        <v>-2.1212291317719854E-6</v>
      </c>
      <c r="K62" s="53">
        <f t="shared" si="32"/>
        <v>2.2728743787922697E-4</v>
      </c>
      <c r="L62" s="17">
        <f>'All Experimental Diel Data'!E42</f>
        <v>2298.2239937199056</v>
      </c>
      <c r="M62">
        <f t="shared" si="29"/>
        <v>2.2982239937199057E-3</v>
      </c>
      <c r="N62" s="46">
        <f t="shared" si="30"/>
        <v>0.88276020064653193</v>
      </c>
      <c r="P62" s="22">
        <f t="shared" si="31"/>
        <v>-2.5905188422890324E-5</v>
      </c>
      <c r="Q62">
        <f t="shared" si="22"/>
        <v>-1.2952594211445162E-5</v>
      </c>
    </row>
    <row r="63" spans="1:17" x14ac:dyDescent="0.2">
      <c r="A63" s="20">
        <v>42300.916666666664</v>
      </c>
      <c r="B63">
        <f>'All Experimental Diel Data'!M43</f>
        <v>8.0194025039672852</v>
      </c>
      <c r="C63" s="55">
        <f t="shared" si="23"/>
        <v>9.5630735514657016E-9</v>
      </c>
      <c r="D63" s="55">
        <f t="shared" si="24"/>
        <v>1.0015026859940607E-5</v>
      </c>
      <c r="E63" s="22">
        <f t="shared" si="25"/>
        <v>9.9548104812954028E-5</v>
      </c>
      <c r="F63" s="17">
        <f>'All Experimental Diel Data'!P43</f>
        <v>183.37771079293307</v>
      </c>
      <c r="G63" s="56">
        <f t="shared" si="26"/>
        <v>1.8337771079293306E-4</v>
      </c>
      <c r="H63" s="22">
        <f>'MultiBox Eulerian Inverse Model'!O49</f>
        <v>-4.3814809405579044E-6</v>
      </c>
      <c r="I63" s="22">
        <f t="shared" si="27"/>
        <v>4.3814809405579044E-6</v>
      </c>
      <c r="J63" s="22">
        <f t="shared" si="28"/>
        <v>9.0550606109283981E-6</v>
      </c>
      <c r="K63" s="53">
        <f t="shared" si="32"/>
        <v>1.9824295497962538E-4</v>
      </c>
      <c r="L63" s="17">
        <f>'All Experimental Diel Data'!E43</f>
        <v>2322.6723603784644</v>
      </c>
      <c r="M63">
        <f t="shared" si="29"/>
        <v>2.3226723603784645E-3</v>
      </c>
      <c r="N63" s="46">
        <f t="shared" si="30"/>
        <v>0.89574579865756288</v>
      </c>
      <c r="P63" s="22">
        <f t="shared" si="31"/>
        <v>7.3250762358584699E-5</v>
      </c>
      <c r="Q63">
        <f t="shared" si="22"/>
        <v>3.662538117929235E-5</v>
      </c>
    </row>
    <row r="64" spans="1:17" x14ac:dyDescent="0.2">
      <c r="A64" s="20">
        <v>42301.00277777778</v>
      </c>
      <c r="B64">
        <f>'All Experimental Diel Data'!M44</f>
        <v>8.0271100997924805</v>
      </c>
      <c r="C64" s="55">
        <f t="shared" si="23"/>
        <v>9.3948510761205328E-9</v>
      </c>
      <c r="D64" s="55">
        <f t="shared" si="24"/>
        <v>1.019435408880002E-5</v>
      </c>
      <c r="E64" s="22">
        <f t="shared" si="25"/>
        <v>1.008954383489591E-4</v>
      </c>
      <c r="F64" s="17">
        <f>'All Experimental Diel Data'!P44</f>
        <v>181.50262897075376</v>
      </c>
      <c r="G64" s="56">
        <f t="shared" si="26"/>
        <v>1.8150262897075376E-4</v>
      </c>
      <c r="H64" s="22">
        <f>'MultiBox Eulerian Inverse Model'!O50</f>
        <v>-4.3814809405579044E-6</v>
      </c>
      <c r="I64" s="22">
        <f t="shared" si="27"/>
        <v>4.3814809405579044E-6</v>
      </c>
      <c r="J64" s="22">
        <f t="shared" si="28"/>
        <v>8.7629618806057374E-6</v>
      </c>
      <c r="K64" s="53">
        <f t="shared" si="32"/>
        <v>1.7432265018200467E-4</v>
      </c>
      <c r="L64" s="17">
        <f>'All Experimental Diel Data'!E44</f>
        <v>2328.096054024089</v>
      </c>
      <c r="M64">
        <f t="shared" si="29"/>
        <v>2.328096054024089E-3</v>
      </c>
      <c r="N64" s="46">
        <f t="shared" si="30"/>
        <v>0.89412604082268166</v>
      </c>
      <c r="P64" s="22">
        <f t="shared" si="31"/>
        <v>-4.0944601927869581E-5</v>
      </c>
      <c r="Q64">
        <f t="shared" si="22"/>
        <v>-2.047230096393479E-5</v>
      </c>
    </row>
    <row r="65" spans="1:17" x14ac:dyDescent="0.2">
      <c r="A65" s="20">
        <v>42301.086111111108</v>
      </c>
      <c r="B65">
        <f>'All Experimental Diel Data'!M45</f>
        <v>7.9989023208618164</v>
      </c>
      <c r="C65" s="55">
        <f t="shared" si="23"/>
        <v>1.0025306964403906E-8</v>
      </c>
      <c r="D65" s="55">
        <f t="shared" si="24"/>
        <v>9.5532674282768227E-6</v>
      </c>
      <c r="E65" s="22">
        <f t="shared" si="25"/>
        <v>9.602468966620079E-5</v>
      </c>
      <c r="F65" s="17">
        <f>'All Experimental Diel Data'!P45</f>
        <v>177.32279036097614</v>
      </c>
      <c r="G65" s="56">
        <f t="shared" si="26"/>
        <v>1.7732279036097615E-4</v>
      </c>
      <c r="H65" s="22">
        <f>'MultiBox Eulerian Inverse Model'!O51</f>
        <v>-4.3814809405579044E-6</v>
      </c>
      <c r="I65" s="22">
        <f t="shared" si="27"/>
        <v>4.3814809405579044E-6</v>
      </c>
      <c r="J65" s="22">
        <f t="shared" si="28"/>
        <v>8.4708631518132909E-6</v>
      </c>
      <c r="K65" s="53">
        <f t="shared" si="32"/>
        <v>1.7273966709014803E-4</v>
      </c>
      <c r="L65" s="17">
        <f>'All Experimental Diel Data'!E45</f>
        <v>2327.0080325198728</v>
      </c>
      <c r="M65">
        <f t="shared" si="29"/>
        <v>2.3270080325198728E-3</v>
      </c>
      <c r="N65" s="46">
        <f t="shared" si="30"/>
        <v>0.89998971741157585</v>
      </c>
      <c r="P65" s="22">
        <f t="shared" si="31"/>
        <v>1.0893964124949063E-5</v>
      </c>
      <c r="Q65">
        <f t="shared" si="22"/>
        <v>5.4469820624745316E-6</v>
      </c>
    </row>
    <row r="66" spans="1:17" x14ac:dyDescent="0.2">
      <c r="A66" s="20">
        <v>42301.166666666664</v>
      </c>
      <c r="B66">
        <f>'All Experimental Diel Data'!M46</f>
        <v>7.9996480941772461</v>
      </c>
      <c r="C66" s="55">
        <f t="shared" si="23"/>
        <v>1.000810621477753E-8</v>
      </c>
      <c r="D66" s="55">
        <f t="shared" si="24"/>
        <v>9.5696864547760578E-6</v>
      </c>
      <c r="E66" s="22">
        <f t="shared" si="25"/>
        <v>9.6151330031726809E-5</v>
      </c>
      <c r="F66" s="17">
        <f>'All Experimental Diel Data'!P46</f>
        <v>177.36487950702622</v>
      </c>
      <c r="G66" s="56">
        <f t="shared" si="26"/>
        <v>1.7736487950702621E-4</v>
      </c>
      <c r="H66" s="22">
        <f>'MultiBox Eulerian Inverse Model'!O52</f>
        <v>-4.3814809405579044E-6</v>
      </c>
      <c r="I66" s="22">
        <f t="shared" si="27"/>
        <v>4.3814809405579044E-6</v>
      </c>
      <c r="J66" s="22">
        <f t="shared" si="28"/>
        <v>8.7629618813708453E-6</v>
      </c>
      <c r="K66" s="53">
        <f t="shared" si="32"/>
        <v>1.6885192720916286E-4</v>
      </c>
      <c r="L66" s="17">
        <f>'All Experimental Diel Data'!E46</f>
        <v>2322.8858859025718</v>
      </c>
      <c r="M66">
        <f t="shared" si="29"/>
        <v>2.3228858859025716E-3</v>
      </c>
      <c r="N66" s="46">
        <f t="shared" si="30"/>
        <v>0.89983696018800208</v>
      </c>
      <c r="P66" s="22">
        <f t="shared" si="31"/>
        <v>-1.4371666351074025E-5</v>
      </c>
      <c r="Q66">
        <f t="shared" si="22"/>
        <v>-7.1858331755370126E-6</v>
      </c>
    </row>
    <row r="67" spans="1:17" x14ac:dyDescent="0.2">
      <c r="A67" s="20">
        <v>42301.25</v>
      </c>
      <c r="B67">
        <f>'All Experimental Diel Data'!M47</f>
        <v>7.998619556427002</v>
      </c>
      <c r="C67" s="55">
        <f t="shared" si="23"/>
        <v>1.0031836458629573E-8</v>
      </c>
      <c r="D67" s="55">
        <f t="shared" si="24"/>
        <v>9.5470494237502896E-6</v>
      </c>
      <c r="E67" s="22">
        <f t="shared" si="25"/>
        <v>9.5976703632253432E-5</v>
      </c>
      <c r="F67" s="17">
        <f>'All Experimental Diel Data'!P47</f>
        <v>176.3461389126166</v>
      </c>
      <c r="G67" s="56">
        <f t="shared" si="26"/>
        <v>1.7634613891261659E-4</v>
      </c>
      <c r="H67" s="22">
        <f>'MultiBox Eulerian Inverse Model'!O53</f>
        <v>9.7330058908317353E-7</v>
      </c>
      <c r="I67" s="22">
        <f t="shared" si="27"/>
        <v>-9.7330058908317353E-7</v>
      </c>
      <c r="J67" s="22"/>
      <c r="K67" s="53">
        <f t="shared" si="32"/>
        <v>1.739566991554523E-4</v>
      </c>
      <c r="L67" s="17">
        <f>'All Experimental Diel Data'!E47</f>
        <v>2326.9305991591141</v>
      </c>
      <c r="M67">
        <f t="shared" si="29"/>
        <v>2.3269305991591139E-3</v>
      </c>
      <c r="N67" s="46">
        <f t="shared" si="30"/>
        <v>0.90004760409307616</v>
      </c>
    </row>
    <row r="69" spans="1:17" x14ac:dyDescent="0.2">
      <c r="A69" s="57" t="s">
        <v>453</v>
      </c>
      <c r="B69" s="57" t="s">
        <v>454</v>
      </c>
      <c r="C69" s="57" t="s">
        <v>451</v>
      </c>
    </row>
    <row r="70" spans="1:17" x14ac:dyDescent="0.2">
      <c r="A70" s="51">
        <f>SUM(Q56:Q66)*1025*1*1000</f>
        <v>-25.050161907738449</v>
      </c>
      <c r="B70" s="58">
        <f>'MultiBox Eulerian Inverse Model'!AF42</f>
        <v>-65.675964081215028</v>
      </c>
      <c r="C70" s="51">
        <f>((B70-A70)/B70)*100</f>
        <v>61.857945660666104</v>
      </c>
    </row>
    <row r="71" spans="1:17" x14ac:dyDescent="0.2">
      <c r="A71" t="s">
        <v>547</v>
      </c>
      <c r="B71" t="s">
        <v>548</v>
      </c>
      <c r="C71" t="s">
        <v>451</v>
      </c>
    </row>
    <row r="72" spans="1:17" x14ac:dyDescent="0.2">
      <c r="A72" s="51">
        <f>SUM(J56:J66)*1025*1*1000</f>
        <v>-79.893170061569691</v>
      </c>
      <c r="B72" s="51">
        <f>'MultiBox Eulerian Inverse Model'!AE42</f>
        <v>130.98682308994466</v>
      </c>
      <c r="C72" s="51">
        <f>((B72-A72)/B72)*100</f>
        <v>160.99328785667964</v>
      </c>
    </row>
    <row r="75" spans="1:17" x14ac:dyDescent="0.2">
      <c r="A75" s="10" t="s">
        <v>86</v>
      </c>
    </row>
    <row r="76" spans="1:17" x14ac:dyDescent="0.2">
      <c r="A76" t="s">
        <v>99</v>
      </c>
      <c r="B76" t="s">
        <v>78</v>
      </c>
      <c r="C76" t="s">
        <v>440</v>
      </c>
      <c r="D76" t="s">
        <v>441</v>
      </c>
      <c r="E76" t="s">
        <v>442</v>
      </c>
      <c r="F76" t="s">
        <v>136</v>
      </c>
      <c r="G76" t="s">
        <v>443</v>
      </c>
      <c r="H76" t="s">
        <v>444</v>
      </c>
      <c r="I76" t="s">
        <v>450</v>
      </c>
      <c r="J76" t="s">
        <v>452</v>
      </c>
      <c r="K76" t="s">
        <v>445</v>
      </c>
      <c r="L76" t="s">
        <v>340</v>
      </c>
      <c r="M76" t="s">
        <v>446</v>
      </c>
      <c r="N76" t="s">
        <v>447</v>
      </c>
      <c r="P76" t="s">
        <v>448</v>
      </c>
      <c r="Q76" t="s">
        <v>449</v>
      </c>
    </row>
    <row r="77" spans="1:17" x14ac:dyDescent="0.2">
      <c r="A77" s="25">
        <v>42817.5</v>
      </c>
      <c r="B77">
        <f>'All Experimental Diel Data'!M53</f>
        <v>8.0850000000000009</v>
      </c>
      <c r="C77" s="55">
        <f>10^-B77</f>
        <v>8.222426499470675E-9</v>
      </c>
      <c r="D77" s="55">
        <f>$B$9/C77</f>
        <v>1.1647953130098783E-5</v>
      </c>
      <c r="E77" s="22">
        <f>($B$6/(C77+$B$6))*$B$5</f>
        <v>1.1140401405293059E-4</v>
      </c>
      <c r="F77" s="17">
        <f>'All Experimental Diel Data'!P53</f>
        <v>246.97147027120369</v>
      </c>
      <c r="G77" s="56">
        <f>F77/1000000</f>
        <v>2.4697147027120367E-4</v>
      </c>
      <c r="H77" s="22">
        <f>'MultiBox Eulerian Inverse Model'!O59</f>
        <v>2.8235849705120358E-5</v>
      </c>
      <c r="I77" s="22">
        <f>H77/$B$10</f>
        <v>-2.8235849705120358E-5</v>
      </c>
      <c r="J77" s="22">
        <f>(A78-A77)*24*I77</f>
        <v>-5.6471699411884259E-5</v>
      </c>
      <c r="K77" s="53">
        <f>G77</f>
        <v>2.4697147027120367E-4</v>
      </c>
      <c r="L77" s="17">
        <f>'All Experimental Diel Data'!E53</f>
        <v>2273.8965376055971</v>
      </c>
      <c r="M77">
        <f>L77*10^-6</f>
        <v>2.2738965376055968E-3</v>
      </c>
      <c r="N77" s="46">
        <f>((C77^2+C77*$B$7+$B$7*$B$8)/(C77*$B$7+2*$B$7*$B$8))</f>
        <v>0.88153720154915549</v>
      </c>
      <c r="P77" s="22">
        <f>(((K78-K77)/$B$10)-M77*(N78-N77)+N78*(E78+D78)-N77*(E77+D77))/(N78-0.5)</f>
        <v>-1.362276880242641E-4</v>
      </c>
      <c r="Q77">
        <f t="shared" ref="Q77:Q87" si="33">P77/2</f>
        <v>-6.8113844012132052E-5</v>
      </c>
    </row>
    <row r="78" spans="1:17" x14ac:dyDescent="0.2">
      <c r="A78" s="25">
        <v>42817.583333333336</v>
      </c>
      <c r="B78">
        <f>'All Experimental Diel Data'!M54</f>
        <v>8.0920000000000005</v>
      </c>
      <c r="C78" s="55">
        <f t="shared" ref="C78:C88" si="34">10^-B78</f>
        <v>8.0909589917838049E-9</v>
      </c>
      <c r="D78" s="55">
        <f t="shared" ref="D78:D88" si="35">$B$9/C78</f>
        <v>1.1837217143081989E-5</v>
      </c>
      <c r="E78" s="22">
        <f t="shared" ref="E78:E88" si="36">($B$6/(C78+$B$6))*$B$5</f>
        <v>1.1272047706066653E-4</v>
      </c>
      <c r="F78" s="17">
        <f>'All Experimental Diel Data'!P54</f>
        <v>260.22615100673943</v>
      </c>
      <c r="G78" s="56">
        <f t="shared" ref="G78:G88" si="37">F78/1000000</f>
        <v>2.6022615100673941E-4</v>
      </c>
      <c r="H78" s="22">
        <f>'MultiBox Eulerian Inverse Model'!O60</f>
        <v>2.8233660779159043E-5</v>
      </c>
      <c r="I78" s="22">
        <f t="shared" ref="I78:I88" si="38">H78/$B$10</f>
        <v>-2.8233660779159043E-5</v>
      </c>
      <c r="J78" s="22">
        <f t="shared" ref="J78:J87" si="39">(A79-A78)*24*I78</f>
        <v>-5.6467321559961499E-5</v>
      </c>
      <c r="K78" s="53">
        <f>G77+(A78-A77)*24*((H78+H77)/2)</f>
        <v>3.0344098075712653E-4</v>
      </c>
      <c r="L78" s="17">
        <f>'All Experimental Diel Data'!E54</f>
        <v>2255.2374669082956</v>
      </c>
      <c r="M78">
        <f t="shared" ref="M78:M88" si="40">L78*10^-6</f>
        <v>2.2552374669082957E-3</v>
      </c>
      <c r="N78" s="46">
        <f t="shared" ref="N78:N88" si="41">((C78^2+C78*$B$7+$B$7*$B$8)/(C78*$B$7+2*$B$7*$B$8))</f>
        <v>0.87996439955507078</v>
      </c>
      <c r="P78" s="22">
        <f t="shared" ref="P78:P87" si="42">(((K79-K78)/$B$10)-M78*(N79-N78)+N79*(E79+D79)-N78*(E78+D78))/(N79-0.5)</f>
        <v>7.0554857925332056E-5</v>
      </c>
      <c r="Q78">
        <f t="shared" si="33"/>
        <v>3.5277428962666028E-5</v>
      </c>
    </row>
    <row r="79" spans="1:17" x14ac:dyDescent="0.2">
      <c r="A79" s="25">
        <v>42817.666666666672</v>
      </c>
      <c r="B79">
        <f>'All Experimental Diel Data'!M55</f>
        <v>8.1389999999999993</v>
      </c>
      <c r="C79" s="55">
        <f t="shared" si="34"/>
        <v>7.26105957435155E-9</v>
      </c>
      <c r="D79" s="55">
        <f t="shared" si="35"/>
        <v>1.3190146355474541E-5</v>
      </c>
      <c r="E79" s="22">
        <f t="shared" si="36"/>
        <v>1.2180675967517089E-4</v>
      </c>
      <c r="F79" s="17">
        <f>'All Experimental Diel Data'!P55</f>
        <v>271.094701638505</v>
      </c>
      <c r="G79" s="56">
        <f t="shared" si="37"/>
        <v>2.7109470163850499E-4</v>
      </c>
      <c r="H79" s="22">
        <f>'MultiBox Eulerian Inverse Model'!O61</f>
        <v>2.1106956724028502E-5</v>
      </c>
      <c r="I79" s="22">
        <f t="shared" si="38"/>
        <v>-2.1106956724028502E-5</v>
      </c>
      <c r="J79" s="22">
        <f t="shared" si="39"/>
        <v>-4.2213913449285589E-5</v>
      </c>
      <c r="K79" s="53">
        <f t="shared" ref="K79:K88" si="43">G78+(A79-A78)*24*((H79+H78)/2)</f>
        <v>3.0956676851136294E-4</v>
      </c>
      <c r="L79" s="17">
        <f>'All Experimental Diel Data'!E55</f>
        <v>2239.8308352786348</v>
      </c>
      <c r="M79">
        <f t="shared" si="40"/>
        <v>2.2398308352786348E-3</v>
      </c>
      <c r="N79" s="46">
        <f t="shared" si="41"/>
        <v>0.869124506879277</v>
      </c>
      <c r="P79" s="22">
        <f t="shared" si="42"/>
        <v>5.7926024266051185E-5</v>
      </c>
      <c r="Q79">
        <f t="shared" si="33"/>
        <v>2.8963012133025592E-5</v>
      </c>
    </row>
    <row r="80" spans="1:17" x14ac:dyDescent="0.2">
      <c r="A80" s="25">
        <v>42817.750000000007</v>
      </c>
      <c r="B80">
        <f>'All Experimental Diel Data'!M56</f>
        <v>8.1280000000000001</v>
      </c>
      <c r="C80" s="55">
        <f t="shared" si="34"/>
        <v>7.4473197390598711E-9</v>
      </c>
      <c r="D80" s="55">
        <f t="shared" si="35"/>
        <v>1.2860256016563473E-5</v>
      </c>
      <c r="E80" s="22">
        <f t="shared" si="36"/>
        <v>1.1964223538266745E-4</v>
      </c>
      <c r="F80" s="17">
        <f>'All Experimental Diel Data'!P56</f>
        <v>239.88415763908597</v>
      </c>
      <c r="G80" s="56">
        <f t="shared" si="37"/>
        <v>2.3988415763908597E-4</v>
      </c>
      <c r="H80" s="22">
        <f>'MultiBox Eulerian Inverse Model'!O62</f>
        <v>-1.1771829153530779E-5</v>
      </c>
      <c r="I80" s="22">
        <f t="shared" si="38"/>
        <v>1.1771829153530779E-5</v>
      </c>
      <c r="J80" s="22">
        <f t="shared" si="39"/>
        <v>2.3543658307746766E-5</v>
      </c>
      <c r="K80" s="53">
        <f t="shared" si="43"/>
        <v>2.8042982920927439E-4</v>
      </c>
      <c r="L80" s="17">
        <f>'All Experimental Diel Data'!E56</f>
        <v>2263.2013553890069</v>
      </c>
      <c r="M80">
        <f t="shared" si="40"/>
        <v>2.2632013553890067E-3</v>
      </c>
      <c r="N80" s="46">
        <f t="shared" si="41"/>
        <v>0.87170483524859932</v>
      </c>
      <c r="P80" s="22">
        <f t="shared" si="42"/>
        <v>4.5248048676695146E-5</v>
      </c>
      <c r="Q80">
        <f t="shared" si="33"/>
        <v>2.2624024338347573E-5</v>
      </c>
    </row>
    <row r="81" spans="1:17" x14ac:dyDescent="0.2">
      <c r="A81" s="25">
        <v>42817.833333333343</v>
      </c>
      <c r="B81">
        <f>'All Experimental Diel Data'!M57</f>
        <v>8.0559999999999992</v>
      </c>
      <c r="C81" s="55">
        <f t="shared" si="34"/>
        <v>8.7902251683088581E-9</v>
      </c>
      <c r="D81" s="55">
        <f t="shared" si="35"/>
        <v>1.0895561450099072E-5</v>
      </c>
      <c r="E81" s="22">
        <f t="shared" si="36"/>
        <v>1.0605454045319507E-4</v>
      </c>
      <c r="F81" s="17">
        <f>'All Experimental Diel Data'!P57</f>
        <v>193.05723017317678</v>
      </c>
      <c r="G81" s="56">
        <f t="shared" si="37"/>
        <v>1.9305723017317677E-4</v>
      </c>
      <c r="H81" s="22">
        <f>'MultiBox Eulerian Inverse Model'!O63</f>
        <v>-1.3631274037291259E-5</v>
      </c>
      <c r="I81" s="22">
        <f t="shared" si="38"/>
        <v>1.3631274037291259E-5</v>
      </c>
      <c r="J81" s="22">
        <f t="shared" si="39"/>
        <v>2.7262548075375964E-5</v>
      </c>
      <c r="K81" s="53">
        <f t="shared" si="43"/>
        <v>2.144810544475246E-4</v>
      </c>
      <c r="L81" s="17">
        <f>'All Experimental Diel Data'!E57</f>
        <v>2302.5183280172341</v>
      </c>
      <c r="M81">
        <f t="shared" si="40"/>
        <v>2.302518328017234E-3</v>
      </c>
      <c r="N81" s="46">
        <f t="shared" si="41"/>
        <v>0.88793699335363729</v>
      </c>
      <c r="P81" s="22">
        <f t="shared" si="42"/>
        <v>2.4166657122325092E-5</v>
      </c>
      <c r="Q81">
        <f t="shared" si="33"/>
        <v>1.2083328561162546E-5</v>
      </c>
    </row>
    <row r="82" spans="1:17" x14ac:dyDescent="0.2">
      <c r="A82" s="25">
        <v>42817.916666666679</v>
      </c>
      <c r="B82">
        <f>'All Experimental Diel Data'!M58</f>
        <v>7.9950000000000001</v>
      </c>
      <c r="C82" s="55">
        <f t="shared" si="34"/>
        <v>1.0115794542598968E-8</v>
      </c>
      <c r="D82" s="55">
        <f t="shared" si="35"/>
        <v>9.4678117549934031E-6</v>
      </c>
      <c r="E82" s="22">
        <f t="shared" si="36"/>
        <v>9.5363931412652126E-5</v>
      </c>
      <c r="F82" s="17">
        <f>'All Experimental Diel Data'!P58</f>
        <v>157.03591930822896</v>
      </c>
      <c r="G82" s="56">
        <f t="shared" si="37"/>
        <v>1.5703591930822896E-4</v>
      </c>
      <c r="H82" s="22">
        <f>'MultiBox Eulerian Inverse Model'!O64</f>
        <v>-1.3631274037291259E-5</v>
      </c>
      <c r="I82" s="22">
        <f t="shared" si="38"/>
        <v>1.3631274037291259E-5</v>
      </c>
      <c r="J82" s="22">
        <f t="shared" si="39"/>
        <v>2.7262548075375964E-5</v>
      </c>
      <c r="K82" s="53">
        <f t="shared" si="43"/>
        <v>1.657946820978008E-4</v>
      </c>
      <c r="L82" s="17">
        <f>'All Experimental Diel Data'!E58</f>
        <v>2327.8352645088721</v>
      </c>
      <c r="M82">
        <f t="shared" si="40"/>
        <v>2.3278352645088722E-3</v>
      </c>
      <c r="N82" s="46">
        <f t="shared" si="41"/>
        <v>0.90078702884960415</v>
      </c>
      <c r="P82" s="22">
        <f t="shared" si="42"/>
        <v>1.5031279919440831E-5</v>
      </c>
      <c r="Q82">
        <f t="shared" si="33"/>
        <v>7.5156399597204154E-6</v>
      </c>
    </row>
    <row r="83" spans="1:17" x14ac:dyDescent="0.2">
      <c r="A83" s="25">
        <v>42818.000000000015</v>
      </c>
      <c r="B83">
        <f>'All Experimental Diel Data'!M59</f>
        <v>7.9459999999999997</v>
      </c>
      <c r="C83" s="55">
        <f t="shared" si="34"/>
        <v>1.1324003632355575E-8</v>
      </c>
      <c r="D83" s="55">
        <f t="shared" si="35"/>
        <v>8.4576481596901421E-6</v>
      </c>
      <c r="E83" s="22">
        <f t="shared" si="36"/>
        <v>8.7339343465813772E-5</v>
      </c>
      <c r="F83" s="17">
        <f>'All Experimental Diel Data'!P59</f>
        <v>153.21755119097367</v>
      </c>
      <c r="G83" s="56">
        <f t="shared" si="37"/>
        <v>1.5321755119097368E-4</v>
      </c>
      <c r="H83" s="22">
        <f>'MultiBox Eulerian Inverse Model'!O65</f>
        <v>-1.3631274037291259E-5</v>
      </c>
      <c r="I83" s="22">
        <f t="shared" si="38"/>
        <v>1.3631274037291259E-5</v>
      </c>
      <c r="J83" s="22">
        <f t="shared" si="39"/>
        <v>2.7262548075375964E-5</v>
      </c>
      <c r="K83" s="53">
        <f t="shared" si="43"/>
        <v>1.2977337123285299E-4</v>
      </c>
      <c r="L83" s="17">
        <f>'All Experimental Diel Data'!E59</f>
        <v>2300.2948600083573</v>
      </c>
      <c r="M83">
        <f t="shared" si="40"/>
        <v>2.3002948600083571E-3</v>
      </c>
      <c r="N83" s="46">
        <f t="shared" si="41"/>
        <v>0.91051462353884005</v>
      </c>
      <c r="P83" s="22">
        <f t="shared" si="42"/>
        <v>1.2181044052117256E-5</v>
      </c>
      <c r="Q83">
        <f t="shared" si="33"/>
        <v>6.0905220260586278E-6</v>
      </c>
    </row>
    <row r="84" spans="1:17" x14ac:dyDescent="0.2">
      <c r="A84" s="25">
        <v>42818.08333333335</v>
      </c>
      <c r="B84">
        <f>'All Experimental Diel Data'!M60</f>
        <v>7.9480000000000004</v>
      </c>
      <c r="C84" s="55">
        <f t="shared" si="34"/>
        <v>1.1271974561755055E-8</v>
      </c>
      <c r="D84" s="55">
        <f t="shared" si="35"/>
        <v>8.4966868898437673E-6</v>
      </c>
      <c r="E84" s="22">
        <f t="shared" si="36"/>
        <v>8.7656978986421852E-5</v>
      </c>
      <c r="F84" s="17">
        <f>'All Experimental Diel Data'!P60</f>
        <v>148.36055433892241</v>
      </c>
      <c r="G84" s="56">
        <f t="shared" si="37"/>
        <v>1.4836055433892242E-4</v>
      </c>
      <c r="H84" s="22">
        <f>'MultiBox Eulerian Inverse Model'!O66</f>
        <v>-1.3631274037291259E-5</v>
      </c>
      <c r="I84" s="22">
        <f t="shared" si="38"/>
        <v>1.3631274037291259E-5</v>
      </c>
      <c r="J84" s="22">
        <f t="shared" si="39"/>
        <v>5.452509614837159E-5</v>
      </c>
      <c r="K84" s="53">
        <f t="shared" si="43"/>
        <v>1.259550031155977E-4</v>
      </c>
      <c r="L84" s="17">
        <f>'All Experimental Diel Data'!E60</f>
        <v>2317.4703689463213</v>
      </c>
      <c r="M84">
        <f t="shared" si="40"/>
        <v>2.3174703689463213E-3</v>
      </c>
      <c r="N84" s="46">
        <f t="shared" si="41"/>
        <v>0.91012777930645361</v>
      </c>
      <c r="P84" s="22">
        <f t="shared" si="42"/>
        <v>3.5174615484416497E-5</v>
      </c>
      <c r="Q84">
        <f t="shared" si="33"/>
        <v>1.7587307742208249E-5</v>
      </c>
    </row>
    <row r="85" spans="1:17" x14ac:dyDescent="0.2">
      <c r="A85" s="25">
        <v>42818.250000000015</v>
      </c>
      <c r="B85">
        <f>'All Experimental Diel Data'!M61</f>
        <v>7.9180000000000001</v>
      </c>
      <c r="C85" s="55">
        <f t="shared" si="34"/>
        <v>1.2078138351067789E-8</v>
      </c>
      <c r="D85" s="55">
        <f t="shared" si="35"/>
        <v>7.9295695824720805E-6</v>
      </c>
      <c r="E85" s="22">
        <f t="shared" si="36"/>
        <v>8.2980974803675952E-5</v>
      </c>
      <c r="F85" s="17">
        <f>'All Experimental Diel Data'!P61</f>
        <v>146.97165282010604</v>
      </c>
      <c r="G85" s="56">
        <f t="shared" si="37"/>
        <v>1.4697165282010605E-4</v>
      </c>
      <c r="H85" s="22">
        <f>'MultiBox Eulerian Inverse Model'!O67</f>
        <v>-1.3631274037291259E-5</v>
      </c>
      <c r="I85" s="22">
        <f t="shared" si="38"/>
        <v>1.3631274037291259E-5</v>
      </c>
      <c r="J85" s="22">
        <f t="shared" si="39"/>
        <v>2.7262548075375964E-5</v>
      </c>
      <c r="K85" s="53">
        <f t="shared" si="43"/>
        <v>9.3835458190550834E-5</v>
      </c>
      <c r="L85" s="17">
        <f>'All Experimental Diel Data'!E61</f>
        <v>2304.3622093265976</v>
      </c>
      <c r="M85">
        <f t="shared" si="40"/>
        <v>2.3043622093265976E-3</v>
      </c>
      <c r="N85" s="46">
        <f t="shared" si="41"/>
        <v>0.91584089364969867</v>
      </c>
      <c r="P85" s="22">
        <f t="shared" si="42"/>
        <v>-7.2883841887840027E-5</v>
      </c>
      <c r="Q85">
        <f t="shared" si="33"/>
        <v>-3.6441920943920014E-5</v>
      </c>
    </row>
    <row r="86" spans="1:17" x14ac:dyDescent="0.2">
      <c r="A86" s="25">
        <v>42818.33333333335</v>
      </c>
      <c r="B86">
        <f>'All Experimental Diel Data'!M62</f>
        <v>7.9820000000000002</v>
      </c>
      <c r="C86" s="55">
        <f t="shared" si="34"/>
        <v>1.0423174293933007E-8</v>
      </c>
      <c r="D86" s="55">
        <f t="shared" si="35"/>
        <v>9.1886056762251238E-6</v>
      </c>
      <c r="E86" s="22">
        <f t="shared" si="36"/>
        <v>9.3185742983963182E-5</v>
      </c>
      <c r="F86" s="17">
        <f>'All Experimental Diel Data'!P62</f>
        <v>161.56617350276275</v>
      </c>
      <c r="G86" s="56">
        <f t="shared" si="37"/>
        <v>1.6156617350276275E-4</v>
      </c>
      <c r="H86" s="22">
        <f>'MultiBox Eulerian Inverse Model'!O68</f>
        <v>2.7749812077744674E-5</v>
      </c>
      <c r="I86" s="22">
        <f t="shared" si="38"/>
        <v>-2.7749812077744674E-5</v>
      </c>
      <c r="J86" s="22">
        <f t="shared" si="39"/>
        <v>-5.54996241571046E-5</v>
      </c>
      <c r="K86" s="53">
        <f t="shared" si="43"/>
        <v>1.6109019086097038E-4</v>
      </c>
      <c r="L86" s="17">
        <f>'All Experimental Diel Data'!E62</f>
        <v>2312.9011677267604</v>
      </c>
      <c r="M86">
        <f t="shared" si="40"/>
        <v>2.3129011677267605E-3</v>
      </c>
      <c r="N86" s="46">
        <f t="shared" si="41"/>
        <v>0.90341894068595052</v>
      </c>
      <c r="P86" s="22">
        <f t="shared" si="42"/>
        <v>-1.2379879474326775E-4</v>
      </c>
      <c r="Q86">
        <f t="shared" si="33"/>
        <v>-6.1899397371633873E-5</v>
      </c>
    </row>
    <row r="87" spans="1:17" x14ac:dyDescent="0.2">
      <c r="A87" s="25">
        <v>42818.416666666686</v>
      </c>
      <c r="B87">
        <f>'All Experimental Diel Data'!M63</f>
        <v>7.9930000000000003</v>
      </c>
      <c r="C87" s="55">
        <f t="shared" si="34"/>
        <v>1.0162486928706916E-8</v>
      </c>
      <c r="D87" s="55">
        <f t="shared" si="35"/>
        <v>9.424311111384923E-6</v>
      </c>
      <c r="E87" s="22">
        <f t="shared" si="36"/>
        <v>9.5026518572043455E-5</v>
      </c>
      <c r="F87" s="17">
        <f>'All Experimental Diel Data'!P63</f>
        <v>209.6221809690536</v>
      </c>
      <c r="G87" s="56">
        <f t="shared" si="37"/>
        <v>2.0962218096905359E-4</v>
      </c>
      <c r="H87" s="22">
        <f>'MultiBox Eulerian Inverse Model'!O69</f>
        <v>2.8230390530962995E-5</v>
      </c>
      <c r="I87" s="22">
        <f t="shared" si="38"/>
        <v>-2.8230390530962995E-5</v>
      </c>
      <c r="J87" s="22">
        <f t="shared" si="39"/>
        <v>-5.6460781048780188E-5</v>
      </c>
      <c r="K87" s="53">
        <f t="shared" si="43"/>
        <v>2.1754637611309967E-4</v>
      </c>
      <c r="L87" s="17">
        <f>'All Experimental Diel Data'!E63</f>
        <v>2265.6358631668886</v>
      </c>
      <c r="M87">
        <f t="shared" si="40"/>
        <v>2.2656358631668884E-3</v>
      </c>
      <c r="N87" s="46">
        <f t="shared" si="41"/>
        <v>0.90119436058903346</v>
      </c>
      <c r="P87" s="22">
        <f t="shared" si="42"/>
        <v>4.316057748399577E-5</v>
      </c>
      <c r="Q87">
        <f t="shared" si="33"/>
        <v>2.1580288741997885E-5</v>
      </c>
    </row>
    <row r="88" spans="1:17" x14ac:dyDescent="0.2">
      <c r="A88" s="25">
        <v>42818.5</v>
      </c>
      <c r="B88">
        <f>'All Experimental Diel Data'!M64</f>
        <v>8.0939999999999994</v>
      </c>
      <c r="C88" s="55">
        <f t="shared" si="34"/>
        <v>8.0537844119906659E-9</v>
      </c>
      <c r="D88" s="55">
        <f t="shared" si="35"/>
        <v>1.1891855254894253E-5</v>
      </c>
      <c r="E88" s="22">
        <f t="shared" si="36"/>
        <v>1.1309839010445333E-4</v>
      </c>
      <c r="F88" s="17">
        <f>'All Experimental Diel Data'!P64</f>
        <v>250.38971521453539</v>
      </c>
      <c r="G88" s="56">
        <f t="shared" si="37"/>
        <v>2.5038971521453539E-4</v>
      </c>
      <c r="H88" s="22">
        <f>'MultiBox Eulerian Inverse Model'!O70</f>
        <v>2.8235849705120358E-5</v>
      </c>
      <c r="I88" s="22">
        <f t="shared" si="38"/>
        <v>-2.8235849705120358E-5</v>
      </c>
      <c r="K88" s="53">
        <f t="shared" si="43"/>
        <v>2.6608842119198986E-4</v>
      </c>
      <c r="L88" s="17">
        <f>'All Experimental Diel Data'!E64</f>
        <v>2270.9272227293977</v>
      </c>
      <c r="M88">
        <f t="shared" si="40"/>
        <v>2.2709272227293977E-3</v>
      </c>
      <c r="N88" s="46">
        <f t="shared" si="41"/>
        <v>0.87951303195722141</v>
      </c>
    </row>
    <row r="90" spans="1:17" x14ac:dyDescent="0.2">
      <c r="A90" s="57" t="s">
        <v>453</v>
      </c>
      <c r="B90" s="57" t="s">
        <v>454</v>
      </c>
      <c r="C90" s="57" t="s">
        <v>451</v>
      </c>
    </row>
    <row r="91" spans="1:17" x14ac:dyDescent="0.2">
      <c r="A91" s="51">
        <f>SUM(Q77:Q87)*1025*1*1000</f>
        <v>-15.101950109061491</v>
      </c>
      <c r="B91" s="58">
        <f>'MultiBox Eulerian Inverse Model'!AF58</f>
        <v>-73.773417132632389</v>
      </c>
      <c r="C91" s="51">
        <f>((B91-A91)/B91)*100</f>
        <v>79.529279385404251</v>
      </c>
    </row>
    <row r="92" spans="1:17" x14ac:dyDescent="0.2">
      <c r="A92" t="s">
        <v>547</v>
      </c>
      <c r="B92" t="s">
        <v>548</v>
      </c>
      <c r="C92" t="s">
        <v>451</v>
      </c>
    </row>
    <row r="93" spans="1:17" x14ac:dyDescent="0.2">
      <c r="A93" s="51">
        <f>SUM(J77:J87)*1025*1*1000</f>
        <v>-81.994252691128764</v>
      </c>
      <c r="B93" s="51">
        <f>'MultiBox Eulerian Inverse Model'!AE58</f>
        <v>-49.262044950954845</v>
      </c>
      <c r="C93" s="51">
        <f>((B93-A93)/B93)*100</f>
        <v>-66.445085202536788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ED0B1-9C8A-F249-971B-D5C47C6DB4DF}">
  <dimension ref="A1:AS70"/>
  <sheetViews>
    <sheetView topLeftCell="B1" workbookViewId="0">
      <selection activeCell="H3" sqref="H3"/>
    </sheetView>
  </sheetViews>
  <sheetFormatPr baseColWidth="10" defaultRowHeight="16" x14ac:dyDescent="0.2"/>
  <cols>
    <col min="1" max="1" width="39.1640625" bestFit="1" customWidth="1"/>
    <col min="2" max="2" width="35.83203125" bestFit="1" customWidth="1"/>
    <col min="3" max="3" width="40.83203125" bestFit="1" customWidth="1"/>
    <col min="5" max="5" width="23.1640625" bestFit="1" customWidth="1"/>
    <col min="6" max="6" width="20" bestFit="1" customWidth="1"/>
    <col min="7" max="7" width="23.83203125" bestFit="1" customWidth="1"/>
    <col min="8" max="8" width="21.5" bestFit="1" customWidth="1"/>
    <col min="9" max="9" width="24.83203125" bestFit="1" customWidth="1"/>
    <col min="10" max="10" width="40" bestFit="1" customWidth="1"/>
    <col min="11" max="11" width="40" customWidth="1"/>
    <col min="12" max="12" width="45.83203125" bestFit="1" customWidth="1"/>
    <col min="13" max="13" width="46.1640625" bestFit="1" customWidth="1"/>
    <col min="14" max="14" width="39.5" bestFit="1" customWidth="1"/>
    <col min="15" max="15" width="46.1640625" bestFit="1" customWidth="1"/>
    <col min="16" max="16" width="45.33203125" bestFit="1" customWidth="1"/>
    <col min="17" max="17" width="35.6640625" bestFit="1" customWidth="1"/>
    <col min="18" max="19" width="41.83203125" bestFit="1" customWidth="1"/>
    <col min="20" max="20" width="42.83203125" bestFit="1" customWidth="1"/>
    <col min="21" max="21" width="16.6640625" bestFit="1" customWidth="1"/>
    <col min="22" max="22" width="49" bestFit="1" customWidth="1"/>
    <col min="23" max="23" width="22.83203125" bestFit="1" customWidth="1"/>
    <col min="24" max="24" width="49" bestFit="1" customWidth="1"/>
    <col min="25" max="25" width="22.5" bestFit="1" customWidth="1"/>
    <col min="26" max="26" width="38.6640625" bestFit="1" customWidth="1"/>
    <col min="27" max="27" width="16.83203125" bestFit="1" customWidth="1"/>
    <col min="28" max="28" width="44.83203125" bestFit="1" customWidth="1"/>
    <col min="29" max="29" width="23" bestFit="1" customWidth="1"/>
    <col min="30" max="30" width="44.5" bestFit="1" customWidth="1"/>
    <col min="31" max="31" width="22.6640625" bestFit="1" customWidth="1"/>
    <col min="32" max="32" width="28.1640625" bestFit="1" customWidth="1"/>
    <col min="33" max="33" width="23.33203125" bestFit="1" customWidth="1"/>
    <col min="34" max="34" width="20.83203125" bestFit="1" customWidth="1"/>
    <col min="35" max="35" width="14.6640625" bestFit="1" customWidth="1"/>
    <col min="36" max="36" width="15.1640625" bestFit="1" customWidth="1"/>
    <col min="37" max="37" width="17.5" bestFit="1" customWidth="1"/>
    <col min="38" max="38" width="16.33203125" bestFit="1" customWidth="1"/>
    <col min="39" max="40" width="23.33203125" bestFit="1" customWidth="1"/>
    <col min="41" max="41" width="13.1640625" bestFit="1" customWidth="1"/>
    <col min="42" max="42" width="20.33203125" bestFit="1" customWidth="1"/>
  </cols>
  <sheetData>
    <row r="1" spans="1:45" x14ac:dyDescent="0.2">
      <c r="A1" t="s">
        <v>267</v>
      </c>
      <c r="B1">
        <f>1/(994/1000000*1.025)</f>
        <v>981.49874858909561</v>
      </c>
      <c r="E1" s="10" t="s">
        <v>70</v>
      </c>
    </row>
    <row r="2" spans="1:45" x14ac:dyDescent="0.2">
      <c r="A2" t="s">
        <v>274</v>
      </c>
      <c r="B2">
        <f>1/(29.76/1000000*1.025)</f>
        <v>32782.585890375034</v>
      </c>
      <c r="D2" s="2"/>
      <c r="E2" t="s">
        <v>99</v>
      </c>
      <c r="F2" s="2" t="s">
        <v>83</v>
      </c>
      <c r="G2" t="s">
        <v>270</v>
      </c>
      <c r="H2" s="2" t="s">
        <v>76</v>
      </c>
      <c r="I2" t="s">
        <v>275</v>
      </c>
      <c r="J2" t="s">
        <v>271</v>
      </c>
      <c r="K2" t="s">
        <v>364</v>
      </c>
      <c r="L2" t="s">
        <v>411</v>
      </c>
      <c r="M2" t="s">
        <v>412</v>
      </c>
      <c r="N2" t="s">
        <v>272</v>
      </c>
      <c r="O2" t="s">
        <v>413</v>
      </c>
      <c r="P2" t="s">
        <v>414</v>
      </c>
      <c r="Q2" t="s">
        <v>273</v>
      </c>
      <c r="R2" t="s">
        <v>415</v>
      </c>
      <c r="S2" t="s">
        <v>416</v>
      </c>
      <c r="T2" t="s">
        <v>276</v>
      </c>
      <c r="U2" t="s">
        <v>283</v>
      </c>
      <c r="V2" t="s">
        <v>417</v>
      </c>
      <c r="W2" t="s">
        <v>418</v>
      </c>
      <c r="X2" t="s">
        <v>419</v>
      </c>
      <c r="Y2" t="s">
        <v>420</v>
      </c>
      <c r="Z2" t="s">
        <v>281</v>
      </c>
      <c r="AA2" t="s">
        <v>282</v>
      </c>
      <c r="AB2" t="s">
        <v>421</v>
      </c>
      <c r="AC2" t="s">
        <v>422</v>
      </c>
      <c r="AD2" t="s">
        <v>423</v>
      </c>
      <c r="AE2" t="s">
        <v>424</v>
      </c>
      <c r="AF2" t="s">
        <v>425</v>
      </c>
      <c r="AG2" t="s">
        <v>426</v>
      </c>
    </row>
    <row r="3" spans="1:45" x14ac:dyDescent="0.2">
      <c r="A3" t="s">
        <v>268</v>
      </c>
      <c r="B3">
        <v>3.7900000000000003E-2</v>
      </c>
      <c r="D3" s="18"/>
      <c r="E3" s="20">
        <v>0.45833333333333331</v>
      </c>
      <c r="F3" s="18">
        <f>'All Experimental Diel Data'!O3</f>
        <v>232.78</v>
      </c>
      <c r="G3">
        <f>F3/($B$1*($B$4-$B$3))</f>
        <v>0.22330091610959418</v>
      </c>
      <c r="H3" s="30">
        <f>'All Experimental Diel Data'!J3</f>
        <v>8.018815</v>
      </c>
      <c r="I3">
        <f>H3/($B$2*($B$4-$B$3))</f>
        <v>2.303040511816213E-4</v>
      </c>
      <c r="J3">
        <f>-1*B13*1025</f>
        <v>13432.454306473412</v>
      </c>
      <c r="K3">
        <f>C13*1025</f>
        <v>9537.0882389866583</v>
      </c>
      <c r="L3">
        <f>J3+K3</f>
        <v>22969.54254546007</v>
      </c>
      <c r="M3">
        <f>J3-K3</f>
        <v>3895.3660674867533</v>
      </c>
      <c r="N3">
        <f>J3/1000000</f>
        <v>1.3432454306473411E-2</v>
      </c>
      <c r="O3">
        <f>L3/1000000</f>
        <v>2.2969542545460069E-2</v>
      </c>
      <c r="P3">
        <f>M3/1000000</f>
        <v>3.8953660674867531E-3</v>
      </c>
      <c r="Q3">
        <f t="shared" ref="Q3:Q14" si="0">N3/G3</f>
        <v>6.0154049255583333E-2</v>
      </c>
      <c r="R3">
        <f>O3/G3</f>
        <v>0.10286362880028138</v>
      </c>
      <c r="S3">
        <f>P3/G3</f>
        <v>1.7444469710885292E-2</v>
      </c>
      <c r="T3">
        <f t="shared" ref="T3:T14" si="1">(Q3*$B$5*(273+28))/1.1</f>
        <v>1.3506912970018625</v>
      </c>
      <c r="U3" s="17">
        <f>(E4-E3)*(24)*(T3)</f>
        <v>2.7013825940037246</v>
      </c>
      <c r="V3">
        <f>(R3*$B$5*(273+28))/1.1</f>
        <v>2.3096867113343071</v>
      </c>
      <c r="W3" s="17">
        <f>(E4-E3)*(24)*(V3)</f>
        <v>4.6193734226686134</v>
      </c>
      <c r="X3">
        <f>(S3*$B$5*(273+28))/1.1</f>
        <v>0.39169588266941802</v>
      </c>
      <c r="Y3" s="17">
        <f>(E4-E3)*(24)*(X3)</f>
        <v>0.78339176533883581</v>
      </c>
      <c r="Z3">
        <f t="shared" ref="Z3:Z14" si="2">T3*(1/$B$9)</f>
        <v>40306.724345446826</v>
      </c>
      <c r="AA3" s="17">
        <f>(E4-E3)*(24)*(Z3)</f>
        <v>80613.448690893638</v>
      </c>
      <c r="AB3">
        <f>V3*(1/$B$9)</f>
        <v>68924.635706722242</v>
      </c>
      <c r="AC3" s="17">
        <f>(E4-E3)*(24)*(AB3)</f>
        <v>137849.27141344445</v>
      </c>
      <c r="AD3">
        <f>X3*(1/$B$9)</f>
        <v>11688.812984171427</v>
      </c>
      <c r="AE3" s="17">
        <f>(E4-E3)*(24)*(AD3)</f>
        <v>23377.625968342851</v>
      </c>
      <c r="AF3" s="17">
        <f>W3-U3</f>
        <v>1.9179908286648888</v>
      </c>
      <c r="AG3" s="17">
        <f>AC3-AA3</f>
        <v>57235.822722550816</v>
      </c>
    </row>
    <row r="4" spans="1:45" x14ac:dyDescent="0.2">
      <c r="A4" t="s">
        <v>269</v>
      </c>
      <c r="B4">
        <v>1.1000000000000001</v>
      </c>
      <c r="D4" s="18"/>
      <c r="E4" s="20">
        <v>0.54166666666666663</v>
      </c>
      <c r="F4" s="18">
        <f>'All Experimental Diel Data'!O4</f>
        <v>249.01</v>
      </c>
      <c r="G4">
        <f t="shared" ref="G4:G15" si="3">F4/($B$1*($B$4-$B$3))</f>
        <v>0.23887001082760564</v>
      </c>
      <c r="H4" s="30">
        <f>'All Experimental Diel Data'!J4</f>
        <v>7.2601880000000003</v>
      </c>
      <c r="I4">
        <f t="shared" ref="I4:I15" si="4">H4/($B$2*($B$4-$B$3))</f>
        <v>2.0851593517747858E-4</v>
      </c>
      <c r="J4">
        <f t="shared" ref="J4:J14" si="5">-1*B14*1025</f>
        <v>10964.050570925845</v>
      </c>
      <c r="K4">
        <f t="shared" ref="K4:K14" si="6">C14*1025</f>
        <v>9582.627445202761</v>
      </c>
      <c r="L4">
        <f t="shared" ref="L4:L14" si="7">J4+K4</f>
        <v>20546.678016128608</v>
      </c>
      <c r="M4">
        <f t="shared" ref="M4:M14" si="8">J4-K4</f>
        <v>1381.423125723084</v>
      </c>
      <c r="N4">
        <f t="shared" ref="N4:N14" si="9">J4/1000000</f>
        <v>1.0964050570925844E-2</v>
      </c>
      <c r="O4">
        <f t="shared" ref="O4:O14" si="10">L4/1000000</f>
        <v>2.0546678016128608E-2</v>
      </c>
      <c r="P4">
        <f t="shared" ref="P4:P14" si="11">M4/1000000</f>
        <v>1.381423125723084E-3</v>
      </c>
      <c r="Q4">
        <f t="shared" si="0"/>
        <v>4.5899652840216451E-2</v>
      </c>
      <c r="R4">
        <f t="shared" ref="R4:R14" si="12">O4/G4</f>
        <v>8.6016147213043445E-2</v>
      </c>
      <c r="S4">
        <f t="shared" ref="S4:S14" si="13">P4/G4</f>
        <v>5.7831584673894787E-3</v>
      </c>
      <c r="T4">
        <f t="shared" si="1"/>
        <v>1.0306249104408023</v>
      </c>
      <c r="U4" s="17">
        <f t="shared" ref="U4:U14" si="14">(E5-E4)*(24)*(T4)+U3</f>
        <v>4.7626324148853296</v>
      </c>
      <c r="V4">
        <f t="shared" ref="V4:V14" si="15">(R4*$B$5*(273+28))/1.1</f>
        <v>1.931395523328052</v>
      </c>
      <c r="W4" s="17">
        <f>(E5-E4)*(24)*(V4)+W3</f>
        <v>8.4821644693247187</v>
      </c>
      <c r="X4">
        <f t="shared" ref="X4:X14" si="16">(S4*$B$5*(273+28))/1.1</f>
        <v>0.12985429755355296</v>
      </c>
      <c r="Y4" s="17">
        <f>(E5-E4)*(24)*(X4)+Y3</f>
        <v>1.0431003604459419</v>
      </c>
      <c r="Z4">
        <f t="shared" si="2"/>
        <v>30755.446681930433</v>
      </c>
      <c r="AA4" s="17">
        <f t="shared" ref="AA4:AA14" si="17">(E5-E4)*(24)*(Z4)+AA3</f>
        <v>142124.34205475452</v>
      </c>
      <c r="AB4">
        <f t="shared" ref="AB4:AB14" si="18">V4*(1/$B$9)</f>
        <v>57635.839613103293</v>
      </c>
      <c r="AC4" s="17">
        <f>(E5-E4)*(24)*(AB4)+AC3</f>
        <v>253120.9506396511</v>
      </c>
      <c r="AD4">
        <f t="shared" ref="AD4:AD14" si="19">X4*(1/$B$9)</f>
        <v>3875.0537507575814</v>
      </c>
      <c r="AE4" s="17">
        <f>(E5-E4)*(24)*(AD4)+AE3</f>
        <v>31127.733469858016</v>
      </c>
      <c r="AF4" s="17">
        <f t="shared" ref="AF4:AF14" si="20">W4-U4</f>
        <v>3.7195320544393891</v>
      </c>
      <c r="AG4" s="17">
        <f t="shared" ref="AG4:AG14" si="21">AC4-AA4</f>
        <v>110996.60858489657</v>
      </c>
    </row>
    <row r="5" spans="1:45" x14ac:dyDescent="0.2">
      <c r="A5" t="s">
        <v>277</v>
      </c>
      <c r="B5">
        <v>8.2057337999999994E-2</v>
      </c>
      <c r="D5" s="18"/>
      <c r="E5" s="20">
        <v>0.625</v>
      </c>
      <c r="F5" s="18">
        <f>'All Experimental Diel Data'!O5</f>
        <v>257.62</v>
      </c>
      <c r="G5">
        <f t="shared" si="3"/>
        <v>0.24712940118632895</v>
      </c>
      <c r="H5" s="30">
        <f>'All Experimental Diel Data'!J5</f>
        <v>6.9830059999999996</v>
      </c>
      <c r="I5">
        <f t="shared" si="4"/>
        <v>2.0055514078147065E-4</v>
      </c>
      <c r="J5">
        <f t="shared" si="5"/>
        <v>12841.780885403841</v>
      </c>
      <c r="K5">
        <f t="shared" si="6"/>
        <v>9553.0532723938904</v>
      </c>
      <c r="L5">
        <f t="shared" si="7"/>
        <v>22394.834157797733</v>
      </c>
      <c r="M5">
        <f t="shared" si="8"/>
        <v>3288.7276130099508</v>
      </c>
      <c r="N5">
        <f t="shared" si="9"/>
        <v>1.2841780885403841E-2</v>
      </c>
      <c r="O5">
        <f t="shared" si="10"/>
        <v>2.2394834157797732E-2</v>
      </c>
      <c r="P5">
        <f t="shared" si="11"/>
        <v>3.2887276130099509E-3</v>
      </c>
      <c r="Q5">
        <f t="shared" si="0"/>
        <v>5.1963792344244308E-2</v>
      </c>
      <c r="R5">
        <f t="shared" si="12"/>
        <v>9.061986979409474E-2</v>
      </c>
      <c r="S5">
        <f t="shared" si="13"/>
        <v>1.3307714894393882E-2</v>
      </c>
      <c r="T5">
        <f t="shared" si="1"/>
        <v>1.1667883201074485</v>
      </c>
      <c r="U5" s="17">
        <f t="shared" si="14"/>
        <v>7.0962090551002275</v>
      </c>
      <c r="V5">
        <f t="shared" si="15"/>
        <v>2.0347669189529243</v>
      </c>
      <c r="W5" s="17">
        <f t="shared" ref="W5:W13" si="22">(E6-E5)*(24)*(V5)+W4</f>
        <v>12.55169830723057</v>
      </c>
      <c r="X5">
        <f t="shared" si="16"/>
        <v>0.29880972126197342</v>
      </c>
      <c r="Y5" s="17">
        <f t="shared" ref="Y5:Y14" si="23">(E6-E5)*(24)*(X5)+Y4</f>
        <v>1.6407198029698891</v>
      </c>
      <c r="Z5">
        <f t="shared" si="2"/>
        <v>34818.774128810466</v>
      </c>
      <c r="AA5" s="17">
        <f t="shared" si="17"/>
        <v>211761.8903123755</v>
      </c>
      <c r="AB5">
        <f t="shared" si="18"/>
        <v>60720.602473354484</v>
      </c>
      <c r="AC5" s="17">
        <f t="shared" ref="AC5:AC14" si="24">(E6-E5)*(24)*(AB5)+AC4</f>
        <v>374562.15558636014</v>
      </c>
      <c r="AD5">
        <f t="shared" si="19"/>
        <v>8916.9457842664669</v>
      </c>
      <c r="AE5" s="17">
        <f t="shared" ref="AE5:AE14" si="25">(E6-E5)*(24)*(AD5)+AE4</f>
        <v>48961.625038390957</v>
      </c>
      <c r="AF5" s="17">
        <f t="shared" si="20"/>
        <v>5.4554892521303424</v>
      </c>
      <c r="AG5" s="17">
        <f t="shared" si="21"/>
        <v>162800.26527398464</v>
      </c>
      <c r="AS5" s="17"/>
    </row>
    <row r="6" spans="1:45" x14ac:dyDescent="0.2">
      <c r="C6" s="17"/>
      <c r="D6" s="18"/>
      <c r="E6" s="20">
        <v>0.70833333333333337</v>
      </c>
      <c r="F6" s="18">
        <f>'All Experimental Diel Data'!O6</f>
        <v>263.77999999999997</v>
      </c>
      <c r="G6">
        <f t="shared" si="3"/>
        <v>0.25303855851614721</v>
      </c>
      <c r="H6" s="30">
        <f>'All Experimental Diel Data'!J6</f>
        <v>6.5416400000000001</v>
      </c>
      <c r="I6">
        <f t="shared" si="4"/>
        <v>1.8787890646831747E-4</v>
      </c>
      <c r="J6">
        <f t="shared" si="5"/>
        <v>8528.7511008071015</v>
      </c>
      <c r="K6">
        <f t="shared" si="6"/>
        <v>9594.1459333560579</v>
      </c>
      <c r="L6">
        <f t="shared" si="7"/>
        <v>18122.897034163158</v>
      </c>
      <c r="M6">
        <f t="shared" si="8"/>
        <v>-1065.3948325489564</v>
      </c>
      <c r="N6">
        <f t="shared" si="9"/>
        <v>8.5287511008071016E-3</v>
      </c>
      <c r="O6">
        <f t="shared" si="10"/>
        <v>1.8122897034163157E-2</v>
      </c>
      <c r="P6">
        <f t="shared" si="11"/>
        <v>-1.0653948325489563E-3</v>
      </c>
      <c r="Q6">
        <f t="shared" si="0"/>
        <v>3.3705341789887149E-2</v>
      </c>
      <c r="R6">
        <f t="shared" si="12"/>
        <v>7.1621088661104892E-2</v>
      </c>
      <c r="S6">
        <f t="shared" si="13"/>
        <v>-4.2104050813305989E-3</v>
      </c>
      <c r="T6">
        <f t="shared" si="1"/>
        <v>0.75681541611013325</v>
      </c>
      <c r="U6" s="17">
        <f t="shared" si="14"/>
        <v>8.6098398873204935</v>
      </c>
      <c r="V6">
        <f t="shared" si="15"/>
        <v>1.6081707272162429</v>
      </c>
      <c r="W6" s="17">
        <f t="shared" si="22"/>
        <v>15.768039761663053</v>
      </c>
      <c r="X6">
        <f t="shared" si="16"/>
        <v>-9.4539894995976717E-2</v>
      </c>
      <c r="Y6" s="17">
        <f t="shared" si="23"/>
        <v>1.4516400129779359</v>
      </c>
      <c r="Z6">
        <f t="shared" si="2"/>
        <v>22584.546465389503</v>
      </c>
      <c r="AA6" s="17">
        <f t="shared" si="17"/>
        <v>256930.98324315448</v>
      </c>
      <c r="AB6">
        <f t="shared" si="18"/>
        <v>47990.310107278703</v>
      </c>
      <c r="AC6" s="17">
        <f t="shared" si="24"/>
        <v>470542.77580091747</v>
      </c>
      <c r="AD6">
        <f t="shared" si="19"/>
        <v>-2821.217176499707</v>
      </c>
      <c r="AE6" s="17">
        <f t="shared" si="25"/>
        <v>43319.19068539155</v>
      </c>
      <c r="AF6" s="17">
        <f t="shared" si="20"/>
        <v>7.158199874342559</v>
      </c>
      <c r="AG6" s="17">
        <f t="shared" si="21"/>
        <v>213611.79255776299</v>
      </c>
    </row>
    <row r="7" spans="1:45" x14ac:dyDescent="0.2">
      <c r="A7" t="s">
        <v>278</v>
      </c>
      <c r="B7">
        <v>4</v>
      </c>
      <c r="D7" s="18"/>
      <c r="E7" s="20">
        <v>0.79166666666666663</v>
      </c>
      <c r="F7" s="18">
        <f>'All Experimental Diel Data'!O7</f>
        <v>226.46</v>
      </c>
      <c r="G7">
        <f t="shared" si="3"/>
        <v>0.21723827417380659</v>
      </c>
      <c r="H7" s="30">
        <f>'All Experimental Diel Data'!J7</f>
        <v>7.137785</v>
      </c>
      <c r="I7">
        <f t="shared" si="4"/>
        <v>2.0500046477732792E-4</v>
      </c>
      <c r="J7">
        <f t="shared" si="5"/>
        <v>9716.1028968790688</v>
      </c>
      <c r="K7">
        <f t="shared" si="6"/>
        <v>9534.1578069432198</v>
      </c>
      <c r="L7">
        <f t="shared" si="7"/>
        <v>19250.260703822289</v>
      </c>
      <c r="M7">
        <f t="shared" si="8"/>
        <v>181.94508993584896</v>
      </c>
      <c r="N7">
        <f t="shared" si="9"/>
        <v>9.7161028968790683E-3</v>
      </c>
      <c r="O7">
        <f t="shared" si="10"/>
        <v>1.925026070382229E-2</v>
      </c>
      <c r="P7">
        <f t="shared" si="11"/>
        <v>1.8194508993584895E-4</v>
      </c>
      <c r="Q7">
        <f t="shared" si="0"/>
        <v>4.4725557380857629E-2</v>
      </c>
      <c r="R7">
        <f t="shared" si="12"/>
        <v>8.8613577773227314E-2</v>
      </c>
      <c r="S7">
        <f t="shared" si="13"/>
        <v>8.3753698848794715E-4</v>
      </c>
      <c r="T7">
        <f t="shared" si="1"/>
        <v>1.0042619217736981</v>
      </c>
      <c r="U7" s="17">
        <f t="shared" si="14"/>
        <v>10.618363730867891</v>
      </c>
      <c r="V7">
        <f t="shared" si="15"/>
        <v>1.9897178955643879</v>
      </c>
      <c r="W7" s="17">
        <f t="shared" si="22"/>
        <v>19.74747555279183</v>
      </c>
      <c r="X7">
        <f t="shared" si="16"/>
        <v>1.88059479830083E-2</v>
      </c>
      <c r="Y7" s="17">
        <f t="shared" si="23"/>
        <v>1.4892519089439524</v>
      </c>
      <c r="Z7">
        <f t="shared" si="2"/>
        <v>29968.734189234448</v>
      </c>
      <c r="AA7" s="17">
        <f t="shared" si="17"/>
        <v>316868.45162162342</v>
      </c>
      <c r="AB7">
        <f t="shared" si="18"/>
        <v>59376.269707026739</v>
      </c>
      <c r="AC7" s="17">
        <f t="shared" si="24"/>
        <v>589295.31521497096</v>
      </c>
      <c r="AD7">
        <f t="shared" si="19"/>
        <v>561.19867144215561</v>
      </c>
      <c r="AE7" s="17">
        <f t="shared" si="25"/>
        <v>44441.588028275859</v>
      </c>
      <c r="AF7" s="17">
        <f t="shared" si="20"/>
        <v>9.1291118219239387</v>
      </c>
      <c r="AG7" s="17">
        <f t="shared" si="21"/>
        <v>272426.86359334755</v>
      </c>
    </row>
    <row r="8" spans="1:45" x14ac:dyDescent="0.2">
      <c r="A8" t="s">
        <v>279</v>
      </c>
      <c r="B8">
        <f>(4/3)*PI()*(B7/2)^3</f>
        <v>33.510321638291124</v>
      </c>
      <c r="D8" s="18"/>
      <c r="E8" s="20">
        <v>0.875</v>
      </c>
      <c r="F8" s="18">
        <f>'All Experimental Diel Data'!O8</f>
        <v>200.29</v>
      </c>
      <c r="G8">
        <f t="shared" si="3"/>
        <v>0.19213394830995195</v>
      </c>
      <c r="H8" s="30">
        <f>'All Experimental Diel Data'!J8</f>
        <v>7.4586110000000003</v>
      </c>
      <c r="I8">
        <f t="shared" si="4"/>
        <v>2.1421473490631766E-4</v>
      </c>
      <c r="J8">
        <f t="shared" si="5"/>
        <v>-17493.530487457181</v>
      </c>
      <c r="K8">
        <f t="shared" si="6"/>
        <v>9551.6110910403968</v>
      </c>
      <c r="L8">
        <f t="shared" si="7"/>
        <v>-7941.9193964167844</v>
      </c>
      <c r="M8">
        <f t="shared" si="8"/>
        <v>-27045.141578497576</v>
      </c>
      <c r="N8">
        <f t="shared" si="9"/>
        <v>-1.7493530487457182E-2</v>
      </c>
      <c r="O8">
        <f t="shared" si="10"/>
        <v>-7.9419193964167852E-3</v>
      </c>
      <c r="P8">
        <f t="shared" si="11"/>
        <v>-2.7045141578497574E-2</v>
      </c>
      <c r="Q8">
        <f t="shared" si="0"/>
        <v>-9.1048618119461563E-2</v>
      </c>
      <c r="R8">
        <f t="shared" si="12"/>
        <v>-4.1335326038295012E-2</v>
      </c>
      <c r="S8">
        <f t="shared" si="13"/>
        <v>-0.14076191020062809</v>
      </c>
      <c r="T8">
        <f t="shared" si="1"/>
        <v>-2.0443939787908509</v>
      </c>
      <c r="U8" s="17">
        <f t="shared" si="14"/>
        <v>6.5295757732861874</v>
      </c>
      <c r="V8">
        <f t="shared" si="15"/>
        <v>-0.92813810258130613</v>
      </c>
      <c r="W8" s="17">
        <f t="shared" si="22"/>
        <v>17.891199347629218</v>
      </c>
      <c r="X8">
        <f t="shared" si="16"/>
        <v>-3.1606498550003943</v>
      </c>
      <c r="Y8" s="17">
        <f t="shared" si="23"/>
        <v>-4.8320478010568388</v>
      </c>
      <c r="Z8">
        <f t="shared" si="2"/>
        <v>-61007.888878475889</v>
      </c>
      <c r="AA8" s="17">
        <f t="shared" si="17"/>
        <v>194852.67386467158</v>
      </c>
      <c r="AB8">
        <f t="shared" si="18"/>
        <v>-27697.081293327657</v>
      </c>
      <c r="AC8" s="17">
        <f t="shared" si="24"/>
        <v>533901.15262831561</v>
      </c>
      <c r="AD8">
        <f t="shared" si="19"/>
        <v>-94318.696463624074</v>
      </c>
      <c r="AE8" s="17">
        <f t="shared" si="25"/>
        <v>-144195.80489897239</v>
      </c>
      <c r="AF8" s="17">
        <f t="shared" si="20"/>
        <v>11.361623574343032</v>
      </c>
      <c r="AG8" s="17">
        <f t="shared" si="21"/>
        <v>339048.478763644</v>
      </c>
    </row>
    <row r="9" spans="1:45" x14ac:dyDescent="0.2">
      <c r="A9" t="s">
        <v>280</v>
      </c>
      <c r="B9">
        <f>B8/1000000</f>
        <v>3.3510321638291124E-5</v>
      </c>
      <c r="D9" s="18"/>
      <c r="E9" s="20">
        <v>0.95833333333333337</v>
      </c>
      <c r="F9" s="18">
        <f>'All Experimental Diel Data'!O9</f>
        <v>168.86</v>
      </c>
      <c r="G9">
        <f t="shared" si="3"/>
        <v>0.16198381602485643</v>
      </c>
      <c r="H9" s="30">
        <f>'All Experimental Diel Data'!J9</f>
        <v>9.5200840000000007</v>
      </c>
      <c r="I9">
        <f t="shared" si="4"/>
        <v>2.7342118664532532E-4</v>
      </c>
      <c r="J9">
        <f t="shared" si="5"/>
        <v>-12550.351001908739</v>
      </c>
      <c r="K9">
        <f t="shared" si="6"/>
        <v>9537.6148609532574</v>
      </c>
      <c r="L9">
        <f t="shared" si="7"/>
        <v>-3012.7361409554815</v>
      </c>
      <c r="M9">
        <f t="shared" si="8"/>
        <v>-22087.965862861995</v>
      </c>
      <c r="N9">
        <f t="shared" si="9"/>
        <v>-1.2550351001908738E-2</v>
      </c>
      <c r="O9">
        <f t="shared" si="10"/>
        <v>-3.0127361409554815E-3</v>
      </c>
      <c r="P9">
        <f t="shared" si="11"/>
        <v>-2.2087965862861995E-2</v>
      </c>
      <c r="Q9">
        <f t="shared" si="0"/>
        <v>-7.7479042721051133E-2</v>
      </c>
      <c r="R9">
        <f t="shared" si="12"/>
        <v>-1.8598994732246441E-2</v>
      </c>
      <c r="S9">
        <f t="shared" si="13"/>
        <v>-0.13635909070985583</v>
      </c>
      <c r="T9">
        <f t="shared" si="1"/>
        <v>-1.7397044753998157</v>
      </c>
      <c r="U9" s="17">
        <f t="shared" si="14"/>
        <v>3.0501668224865548</v>
      </c>
      <c r="V9">
        <f t="shared" si="15"/>
        <v>-0.41761943923495798</v>
      </c>
      <c r="W9" s="17">
        <f t="shared" si="22"/>
        <v>17.055960469159302</v>
      </c>
      <c r="X9">
        <f t="shared" si="16"/>
        <v>-3.0617895115646734</v>
      </c>
      <c r="Y9" s="17">
        <f t="shared" si="23"/>
        <v>-10.955626824186188</v>
      </c>
      <c r="Z9">
        <f t="shared" si="2"/>
        <v>-51915.481271057499</v>
      </c>
      <c r="AA9" s="17">
        <f t="shared" si="17"/>
        <v>91021.711322556541</v>
      </c>
      <c r="AB9">
        <f t="shared" si="18"/>
        <v>-12462.412141032935</v>
      </c>
      <c r="AC9" s="17">
        <f t="shared" si="24"/>
        <v>508976.32834624971</v>
      </c>
      <c r="AD9">
        <f t="shared" si="19"/>
        <v>-91368.550401082059</v>
      </c>
      <c r="AE9" s="17">
        <f t="shared" si="25"/>
        <v>-326932.90570113657</v>
      </c>
      <c r="AF9" s="17">
        <f t="shared" si="20"/>
        <v>14.005793646672748</v>
      </c>
      <c r="AG9" s="17">
        <f t="shared" si="21"/>
        <v>417954.61702369316</v>
      </c>
    </row>
    <row r="10" spans="1:45" x14ac:dyDescent="0.2">
      <c r="A10" s="19"/>
      <c r="B10" s="18"/>
      <c r="C10" s="18"/>
      <c r="D10" s="18"/>
      <c r="E10" s="20">
        <v>1.0416666666666667</v>
      </c>
      <c r="F10" s="18">
        <f>'All Experimental Diel Data'!O10</f>
        <v>164.03</v>
      </c>
      <c r="G10">
        <f t="shared" si="3"/>
        <v>0.15735049948215798</v>
      </c>
      <c r="H10" s="30">
        <f>'All Experimental Diel Data'!J10</f>
        <v>10.663318</v>
      </c>
      <c r="I10">
        <f t="shared" si="4"/>
        <v>3.0625539240372845E-4</v>
      </c>
      <c r="J10">
        <f t="shared" si="5"/>
        <v>13421.266327543141</v>
      </c>
      <c r="K10">
        <f t="shared" si="6"/>
        <v>9530.6369557369344</v>
      </c>
      <c r="L10">
        <f t="shared" si="7"/>
        <v>22951.903283280073</v>
      </c>
      <c r="M10">
        <f t="shared" si="8"/>
        <v>3890.6293718062061</v>
      </c>
      <c r="N10">
        <f t="shared" si="9"/>
        <v>1.3421266327543141E-2</v>
      </c>
      <c r="O10">
        <f t="shared" si="10"/>
        <v>2.2951903283280072E-2</v>
      </c>
      <c r="P10">
        <f t="shared" si="11"/>
        <v>3.8906293718062061E-3</v>
      </c>
      <c r="Q10">
        <f t="shared" si="0"/>
        <v>8.5295352551867695E-2</v>
      </c>
      <c r="R10">
        <f t="shared" si="12"/>
        <v>0.14586482635145748</v>
      </c>
      <c r="S10">
        <f t="shared" si="13"/>
        <v>2.4725878752277906E-2</v>
      </c>
      <c r="T10">
        <f t="shared" si="1"/>
        <v>1.9152108925704621</v>
      </c>
      <c r="U10" s="17">
        <f t="shared" si="14"/>
        <v>6.8805886076274749</v>
      </c>
      <c r="V10">
        <f t="shared" si="15"/>
        <v>3.2752300789346256</v>
      </c>
      <c r="W10" s="17">
        <f t="shared" si="22"/>
        <v>23.606420627028548</v>
      </c>
      <c r="X10">
        <f t="shared" si="16"/>
        <v>0.55519170620629865</v>
      </c>
      <c r="Y10" s="17">
        <f t="shared" si="23"/>
        <v>-9.8452434117735912</v>
      </c>
      <c r="Z10">
        <f t="shared" si="2"/>
        <v>57152.865115505621</v>
      </c>
      <c r="AA10" s="17">
        <f t="shared" si="17"/>
        <v>205327.44155356768</v>
      </c>
      <c r="AB10">
        <f t="shared" si="18"/>
        <v>97737.948154819547</v>
      </c>
      <c r="AC10" s="17">
        <f t="shared" si="24"/>
        <v>704452.22465588863</v>
      </c>
      <c r="AD10">
        <f t="shared" si="19"/>
        <v>16567.782076191703</v>
      </c>
      <c r="AE10" s="17">
        <f t="shared" si="25"/>
        <v>-293797.3415487532</v>
      </c>
      <c r="AF10" s="17">
        <f t="shared" si="20"/>
        <v>16.725832019401075</v>
      </c>
      <c r="AG10" s="17">
        <f t="shared" si="21"/>
        <v>499124.78310232097</v>
      </c>
    </row>
    <row r="11" spans="1:45" x14ac:dyDescent="0.2">
      <c r="A11" s="50" t="s">
        <v>70</v>
      </c>
      <c r="B11" s="18"/>
      <c r="C11" s="18"/>
      <c r="D11" s="18"/>
      <c r="E11" s="20">
        <v>1.125</v>
      </c>
      <c r="F11" s="18">
        <f>'All Experimental Diel Data'!O11</f>
        <v>162.76</v>
      </c>
      <c r="G11">
        <f t="shared" si="3"/>
        <v>0.15613221542227659</v>
      </c>
      <c r="H11" s="30">
        <f>'All Experimental Diel Data'!J11</f>
        <v>10.027920999999999</v>
      </c>
      <c r="I11">
        <f t="shared" si="4"/>
        <v>2.8800649861971561E-4</v>
      </c>
      <c r="J11">
        <f t="shared" si="5"/>
        <v>3682.1391748705964</v>
      </c>
      <c r="K11">
        <f t="shared" si="6"/>
        <v>9545.0633205374324</v>
      </c>
      <c r="L11">
        <f t="shared" si="7"/>
        <v>13227.20249540803</v>
      </c>
      <c r="M11">
        <f t="shared" si="8"/>
        <v>-5862.924145666836</v>
      </c>
      <c r="N11">
        <f t="shared" si="9"/>
        <v>3.6821391748705964E-3</v>
      </c>
      <c r="O11">
        <f t="shared" si="10"/>
        <v>1.3227202495408029E-2</v>
      </c>
      <c r="P11">
        <f t="shared" si="11"/>
        <v>-5.8629241456668356E-3</v>
      </c>
      <c r="Q11">
        <f t="shared" si="0"/>
        <v>2.3583468439949115E-2</v>
      </c>
      <c r="R11">
        <f t="shared" si="12"/>
        <v>8.4717958171756022E-2</v>
      </c>
      <c r="S11">
        <f t="shared" si="13"/>
        <v>-3.7551021291857792E-2</v>
      </c>
      <c r="T11">
        <f t="shared" si="1"/>
        <v>0.52954017176160029</v>
      </c>
      <c r="U11" s="17">
        <f t="shared" si="14"/>
        <v>7.9396689511506748</v>
      </c>
      <c r="V11">
        <f t="shared" si="15"/>
        <v>1.9022461533084212</v>
      </c>
      <c r="W11" s="17">
        <f t="shared" si="22"/>
        <v>27.410912933645388</v>
      </c>
      <c r="X11">
        <f t="shared" si="16"/>
        <v>-0.84316580978522038</v>
      </c>
      <c r="Y11" s="17">
        <f t="shared" si="23"/>
        <v>-11.53157503134403</v>
      </c>
      <c r="Z11">
        <f t="shared" si="2"/>
        <v>15802.300481548122</v>
      </c>
      <c r="AA11" s="17">
        <f t="shared" si="17"/>
        <v>236932.0425166639</v>
      </c>
      <c r="AB11">
        <f t="shared" si="18"/>
        <v>56765.977176858491</v>
      </c>
      <c r="AC11" s="17">
        <f t="shared" si="24"/>
        <v>817984.17900960555</v>
      </c>
      <c r="AD11">
        <f t="shared" si="19"/>
        <v>-25161.37621376224</v>
      </c>
      <c r="AE11" s="17">
        <f t="shared" si="25"/>
        <v>-344120.09397627763</v>
      </c>
      <c r="AF11" s="17">
        <f t="shared" si="20"/>
        <v>19.471243982494713</v>
      </c>
      <c r="AG11" s="17">
        <f t="shared" si="21"/>
        <v>581052.13649294164</v>
      </c>
    </row>
    <row r="12" spans="1:45" x14ac:dyDescent="0.2">
      <c r="A12" t="s">
        <v>99</v>
      </c>
      <c r="B12" s="18" t="s">
        <v>362</v>
      </c>
      <c r="C12" s="18" t="s">
        <v>363</v>
      </c>
      <c r="D12" s="18"/>
      <c r="E12" s="20">
        <v>1.2083333333333333</v>
      </c>
      <c r="F12" s="18">
        <f>'All Experimental Diel Data'!O12</f>
        <v>161.29</v>
      </c>
      <c r="G12">
        <f t="shared" si="3"/>
        <v>0.15472207560493359</v>
      </c>
      <c r="H12" s="30">
        <f>'All Experimental Diel Data'!J12</f>
        <v>10.079127</v>
      </c>
      <c r="I12">
        <f t="shared" si="4"/>
        <v>2.8947715846718762E-4</v>
      </c>
      <c r="J12">
        <f t="shared" si="5"/>
        <v>-4497.3769288546873</v>
      </c>
      <c r="K12">
        <f t="shared" si="6"/>
        <v>9582.243189845447</v>
      </c>
      <c r="L12">
        <f t="shared" si="7"/>
        <v>5084.8662609907597</v>
      </c>
      <c r="M12">
        <f t="shared" si="8"/>
        <v>-14079.620118700135</v>
      </c>
      <c r="N12">
        <f t="shared" si="9"/>
        <v>-4.4973769288546876E-3</v>
      </c>
      <c r="O12">
        <f t="shared" si="10"/>
        <v>5.0848662609907598E-3</v>
      </c>
      <c r="P12">
        <f t="shared" si="11"/>
        <v>-1.4079620118700136E-2</v>
      </c>
      <c r="Q12">
        <f t="shared" si="0"/>
        <v>-2.9067454733080641E-2</v>
      </c>
      <c r="R12">
        <f t="shared" si="12"/>
        <v>3.2864516851327838E-2</v>
      </c>
      <c r="S12">
        <f t="shared" si="13"/>
        <v>-9.0999426317489127E-2</v>
      </c>
      <c r="T12">
        <f t="shared" si="1"/>
        <v>-0.65267689573405574</v>
      </c>
      <c r="U12" s="17">
        <f t="shared" si="14"/>
        <v>6.6343151596825614</v>
      </c>
      <c r="V12">
        <f t="shared" si="15"/>
        <v>0.73793564091846109</v>
      </c>
      <c r="W12" s="17">
        <f t="shared" si="22"/>
        <v>28.886784215482312</v>
      </c>
      <c r="X12">
        <f t="shared" si="16"/>
        <v>-2.0432894323865729</v>
      </c>
      <c r="Y12" s="17">
        <f t="shared" si="23"/>
        <v>-15.618153896117182</v>
      </c>
      <c r="Z12">
        <f t="shared" si="2"/>
        <v>-19476.891412115354</v>
      </c>
      <c r="AA12" s="17">
        <f t="shared" si="17"/>
        <v>197978.25969243312</v>
      </c>
      <c r="AB12">
        <f t="shared" si="18"/>
        <v>22021.144675473563</v>
      </c>
      <c r="AC12" s="17">
        <f t="shared" si="24"/>
        <v>862026.4683605528</v>
      </c>
      <c r="AD12">
        <f t="shared" si="19"/>
        <v>-60974.927499704281</v>
      </c>
      <c r="AE12" s="17">
        <f t="shared" si="25"/>
        <v>-466069.94897568639</v>
      </c>
      <c r="AF12" s="17">
        <f t="shared" si="20"/>
        <v>22.25246905579975</v>
      </c>
      <c r="AG12" s="17">
        <f t="shared" si="21"/>
        <v>664048.20866811974</v>
      </c>
    </row>
    <row r="13" spans="1:45" x14ac:dyDescent="0.2">
      <c r="A13" s="20">
        <v>0.45833333333333331</v>
      </c>
      <c r="B13" s="18">
        <f>('Single Box Model Fluxes'!P4-'Single Box Model Fluxes'!P3)/('Single Box Model Fluxes'!A4-'Single Box Model Fluxes'!A3)*(1/24)-('Single Box Model Fluxes'!C27+'Single Box Model Fluxes'!D27+('Single Box Model Fluxes'!AB27*-1.45))</f>
        <v>-13.104833469730158</v>
      </c>
      <c r="C13" s="18">
        <v>9.3044763307186908</v>
      </c>
      <c r="D13" s="18"/>
      <c r="E13" s="20">
        <v>1.2916666666666667</v>
      </c>
      <c r="F13" s="18">
        <f>'All Experimental Diel Data'!O13</f>
        <v>156.99</v>
      </c>
      <c r="G13">
        <f t="shared" si="3"/>
        <v>0.15059717681950852</v>
      </c>
      <c r="H13" s="30">
        <f>'All Experimental Diel Data'!J13</f>
        <v>10.643373</v>
      </c>
      <c r="I13">
        <f t="shared" si="4"/>
        <v>3.0568256283965731E-4</v>
      </c>
      <c r="J13">
        <f t="shared" si="5"/>
        <v>-6567.3091317924664</v>
      </c>
      <c r="K13">
        <f t="shared" si="6"/>
        <v>9589.1134445351199</v>
      </c>
      <c r="L13">
        <f t="shared" si="7"/>
        <v>3021.8043127426536</v>
      </c>
      <c r="M13">
        <f t="shared" si="8"/>
        <v>-16156.422576327586</v>
      </c>
      <c r="N13">
        <f t="shared" si="9"/>
        <v>-6.5673091317924662E-3</v>
      </c>
      <c r="O13">
        <f t="shared" si="10"/>
        <v>3.0218043127426537E-3</v>
      </c>
      <c r="P13">
        <f t="shared" si="11"/>
        <v>-1.6156422576327586E-2</v>
      </c>
      <c r="Q13">
        <f t="shared" si="0"/>
        <v>-4.360844785067531E-2</v>
      </c>
      <c r="R13">
        <f t="shared" si="12"/>
        <v>2.0065477830067836E-2</v>
      </c>
      <c r="S13">
        <f t="shared" si="13"/>
        <v>-0.10728237353141847</v>
      </c>
      <c r="T13">
        <f t="shared" si="1"/>
        <v>-0.9791784878421903</v>
      </c>
      <c r="U13" s="17">
        <f t="shared" si="14"/>
        <v>4.6759581839981825</v>
      </c>
      <c r="V13">
        <f t="shared" si="15"/>
        <v>0.45054766238768018</v>
      </c>
      <c r="W13" s="17">
        <f t="shared" si="22"/>
        <v>29.78787954025767</v>
      </c>
      <c r="X13">
        <f t="shared" si="16"/>
        <v>-2.4089046380720607</v>
      </c>
      <c r="Y13" s="17">
        <f t="shared" si="23"/>
        <v>-20.4359631722613</v>
      </c>
      <c r="Z13">
        <f t="shared" si="2"/>
        <v>-29220.205595499741</v>
      </c>
      <c r="AA13" s="17">
        <f t="shared" si="17"/>
        <v>139537.84850143368</v>
      </c>
      <c r="AB13">
        <f t="shared" si="18"/>
        <v>13445.041418905823</v>
      </c>
      <c r="AC13" s="17">
        <f t="shared" si="24"/>
        <v>888916.55119836447</v>
      </c>
      <c r="AD13">
        <f t="shared" si="19"/>
        <v>-71885.452609905304</v>
      </c>
      <c r="AE13" s="17">
        <f t="shared" si="25"/>
        <v>-609840.85419549688</v>
      </c>
      <c r="AF13" s="17">
        <f t="shared" si="20"/>
        <v>25.111921356259487</v>
      </c>
      <c r="AG13" s="17">
        <f t="shared" si="21"/>
        <v>749378.70269693085</v>
      </c>
    </row>
    <row r="14" spans="1:45" x14ac:dyDescent="0.2">
      <c r="A14" s="20">
        <v>0.54166666666666663</v>
      </c>
      <c r="B14" s="18">
        <f>('Single Box Model Fluxes'!P5-'Single Box Model Fluxes'!P4)/('Single Box Model Fluxes'!A5-'Single Box Model Fluxes'!A4)*(1/24)-('Single Box Model Fluxes'!C28+'Single Box Model Fluxes'!D28+('Single Box Model Fluxes'!AB28*-1.45))</f>
        <v>-10.696634703342287</v>
      </c>
      <c r="C14" s="18">
        <v>9.3489048245880593</v>
      </c>
      <c r="D14" s="18"/>
      <c r="E14" s="20">
        <v>1.375</v>
      </c>
      <c r="F14" s="18">
        <f>'All Experimental Diel Data'!O14</f>
        <v>186.37</v>
      </c>
      <c r="G14">
        <f t="shared" si="3"/>
        <v>0.17878078759062233</v>
      </c>
      <c r="H14" s="30">
        <f>'All Experimental Diel Data'!J14</f>
        <v>10.168132999999999</v>
      </c>
      <c r="I14">
        <f t="shared" si="4"/>
        <v>2.9203345168251574E-4</v>
      </c>
      <c r="J14">
        <f t="shared" si="5"/>
        <v>9616.7112880312943</v>
      </c>
      <c r="K14">
        <f t="shared" si="6"/>
        <v>9596.159747866388</v>
      </c>
      <c r="L14">
        <f t="shared" si="7"/>
        <v>19212.871035897682</v>
      </c>
      <c r="M14">
        <f t="shared" si="8"/>
        <v>20.551540164906328</v>
      </c>
      <c r="N14">
        <f t="shared" si="9"/>
        <v>9.616711288031295E-3</v>
      </c>
      <c r="O14">
        <f t="shared" si="10"/>
        <v>1.9212871035897684E-2</v>
      </c>
      <c r="P14">
        <f t="shared" si="11"/>
        <v>2.0551540164906328E-5</v>
      </c>
      <c r="Q14">
        <f t="shared" si="0"/>
        <v>5.3790518643714293E-2</v>
      </c>
      <c r="R14">
        <f t="shared" si="12"/>
        <v>0.10746608343560886</v>
      </c>
      <c r="S14">
        <f t="shared" si="13"/>
        <v>1.1495385181972612E-4</v>
      </c>
      <c r="T14">
        <f t="shared" si="1"/>
        <v>1.2078053978475563</v>
      </c>
      <c r="U14" s="17">
        <f t="shared" si="14"/>
        <v>7.0915689796932924</v>
      </c>
      <c r="V14">
        <f t="shared" si="15"/>
        <v>2.4130296366687265</v>
      </c>
      <c r="W14" s="17">
        <f>(E15-E14)*(24)*(V14)+W13</f>
        <v>34.613938813595119</v>
      </c>
      <c r="X14">
        <f t="shared" si="16"/>
        <v>2.5811590263864793E-3</v>
      </c>
      <c r="Y14" s="17">
        <f t="shared" si="23"/>
        <v>-20.430800854208528</v>
      </c>
      <c r="Z14">
        <f t="shared" si="2"/>
        <v>36042.787380095971</v>
      </c>
      <c r="AA14" s="17">
        <f t="shared" si="17"/>
        <v>211623.42326162558</v>
      </c>
      <c r="AB14">
        <f t="shared" si="18"/>
        <v>72008.54896932526</v>
      </c>
      <c r="AC14" s="17">
        <f t="shared" si="24"/>
        <v>1032933.6491370149</v>
      </c>
      <c r="AD14">
        <f t="shared" si="19"/>
        <v>77.025790866688524</v>
      </c>
      <c r="AE14" s="17">
        <f t="shared" si="25"/>
        <v>-609686.80261376349</v>
      </c>
      <c r="AF14" s="17">
        <f t="shared" si="20"/>
        <v>27.522369833901827</v>
      </c>
      <c r="AG14" s="17">
        <f t="shared" si="21"/>
        <v>821310.2258753893</v>
      </c>
    </row>
    <row r="15" spans="1:45" x14ac:dyDescent="0.2">
      <c r="A15" s="20">
        <v>0.625</v>
      </c>
      <c r="B15" s="18">
        <f>('Single Box Model Fluxes'!P6-'Single Box Model Fluxes'!P5)/('Single Box Model Fluxes'!A6-'Single Box Model Fluxes'!A5)*(1/24)-('Single Box Model Fluxes'!C29+'Single Box Model Fluxes'!D29+('Single Box Model Fluxes'!AB29*-1.45))</f>
        <v>-12.528566717467163</v>
      </c>
      <c r="C15" s="18">
        <v>9.3200519730672102</v>
      </c>
      <c r="D15" s="18"/>
      <c r="E15" s="20">
        <v>1.4583333333333333</v>
      </c>
      <c r="F15" s="18">
        <f>'All Experimental Diel Data'!O15</f>
        <v>216.77</v>
      </c>
      <c r="G15">
        <f t="shared" si="3"/>
        <v>0.20794286272479048</v>
      </c>
      <c r="H15" s="30">
        <f>'All Experimental Diel Data'!J15</f>
        <v>8.958278</v>
      </c>
      <c r="I15">
        <f t="shared" si="4"/>
        <v>2.5728586019395535E-4</v>
      </c>
      <c r="U15" s="17"/>
      <c r="V15" s="17"/>
      <c r="W15" s="17"/>
      <c r="X15" s="17"/>
      <c r="Y15" s="17"/>
    </row>
    <row r="16" spans="1:45" x14ac:dyDescent="0.2">
      <c r="A16" s="20">
        <v>0.70833333333333337</v>
      </c>
      <c r="B16" s="18">
        <f>('Single Box Model Fluxes'!P7-'Single Box Model Fluxes'!P6)/('Single Box Model Fluxes'!A7-'Single Box Model Fluxes'!A6)*(1/24)-('Single Box Model Fluxes'!C30+'Single Box Model Fluxes'!D30+('Single Box Model Fluxes'!AB30*-1.45))</f>
        <v>-8.3207327812752201</v>
      </c>
      <c r="C16" s="18">
        <v>9.3601423740059104</v>
      </c>
      <c r="U16" s="17"/>
      <c r="V16" s="17"/>
    </row>
    <row r="17" spans="1:33" x14ac:dyDescent="0.2">
      <c r="A17" s="20">
        <v>0.79166666666666663</v>
      </c>
      <c r="B17" s="18">
        <f>('Single Box Model Fluxes'!P8-'Single Box Model Fluxes'!P7)/('Single Box Model Fluxes'!A8-'Single Box Model Fluxes'!A7)*(1/24)-('Single Box Model Fluxes'!C31+'Single Box Model Fluxes'!D31+('Single Box Model Fluxes'!AB31*-1.45))</f>
        <v>-9.4791247774429941</v>
      </c>
      <c r="C17" s="18">
        <v>9.3016173726275309</v>
      </c>
      <c r="E17" s="10" t="s">
        <v>84</v>
      </c>
    </row>
    <row r="18" spans="1:33" x14ac:dyDescent="0.2">
      <c r="A18" s="20">
        <v>0.875</v>
      </c>
      <c r="B18" s="18">
        <f>('Single Box Model Fluxes'!P9-'Single Box Model Fluxes'!P8)/('Single Box Model Fluxes'!A9-'Single Box Model Fluxes'!A8)*(1/24)-('Single Box Model Fluxes'!C32+'Single Box Model Fluxes'!D32+('Single Box Model Fluxes'!AB32*-1.45))</f>
        <v>17.066859012153348</v>
      </c>
      <c r="C18" s="18">
        <v>9.3186449668686802</v>
      </c>
      <c r="E18" t="s">
        <v>99</v>
      </c>
      <c r="F18" s="2" t="s">
        <v>83</v>
      </c>
      <c r="G18" t="s">
        <v>270</v>
      </c>
      <c r="H18" s="2" t="s">
        <v>76</v>
      </c>
      <c r="I18" t="s">
        <v>275</v>
      </c>
      <c r="J18" t="s">
        <v>271</v>
      </c>
      <c r="K18" t="s">
        <v>364</v>
      </c>
      <c r="L18" t="s">
        <v>411</v>
      </c>
      <c r="M18" t="s">
        <v>412</v>
      </c>
      <c r="N18" t="s">
        <v>272</v>
      </c>
      <c r="O18" t="s">
        <v>413</v>
      </c>
      <c r="P18" t="s">
        <v>414</v>
      </c>
      <c r="Q18" t="s">
        <v>273</v>
      </c>
      <c r="R18" t="s">
        <v>415</v>
      </c>
      <c r="S18" t="s">
        <v>416</v>
      </c>
      <c r="T18" t="s">
        <v>276</v>
      </c>
      <c r="U18" t="s">
        <v>283</v>
      </c>
      <c r="V18" t="s">
        <v>417</v>
      </c>
      <c r="W18" t="s">
        <v>418</v>
      </c>
      <c r="X18" t="s">
        <v>419</v>
      </c>
      <c r="Y18" t="s">
        <v>420</v>
      </c>
      <c r="Z18" t="s">
        <v>281</v>
      </c>
      <c r="AA18" t="s">
        <v>282</v>
      </c>
      <c r="AB18" t="s">
        <v>421</v>
      </c>
      <c r="AC18" t="s">
        <v>422</v>
      </c>
      <c r="AD18" t="s">
        <v>423</v>
      </c>
      <c r="AE18" t="s">
        <v>424</v>
      </c>
      <c r="AF18" t="s">
        <v>425</v>
      </c>
      <c r="AG18" t="s">
        <v>426</v>
      </c>
    </row>
    <row r="19" spans="1:33" x14ac:dyDescent="0.2">
      <c r="A19" s="20">
        <v>0.95833333333333337</v>
      </c>
      <c r="B19" s="18">
        <f>('Single Box Model Fluxes'!P10-'Single Box Model Fluxes'!P9)/('Single Box Model Fluxes'!A10-'Single Box Model Fluxes'!A9)*(1/24)-('Single Box Model Fluxes'!C33+'Single Box Model Fluxes'!D33+('Single Box Model Fluxes'!AB33*-1.45))</f>
        <v>12.244244879910966</v>
      </c>
      <c r="C19" s="18">
        <v>9.3049901082470807</v>
      </c>
      <c r="E19" s="20">
        <f>42323.25-365</f>
        <v>41958.25</v>
      </c>
      <c r="F19" s="18">
        <f>'All Experimental Diel Data'!O19</f>
        <v>209.0625</v>
      </c>
      <c r="G19">
        <f>F19/($B$1*($B$4-$B$3))</f>
        <v>0.20054922147161283</v>
      </c>
      <c r="H19" s="30">
        <f>'All Experimental Diel Data'!J19</f>
        <v>16.476420999999998</v>
      </c>
      <c r="I19">
        <f>H19/($B$2*($B$4-$B$3))</f>
        <v>4.7321038149326797E-4</v>
      </c>
      <c r="J19">
        <f>-1*B29*1025</f>
        <v>-8818.8249756211917</v>
      </c>
      <c r="K19">
        <f>C29*1025</f>
        <v>8259.6855347502769</v>
      </c>
      <c r="L19">
        <f>J19+K19</f>
        <v>-559.13944087091477</v>
      </c>
      <c r="M19">
        <f>J19-K19</f>
        <v>-17078.510510371467</v>
      </c>
      <c r="N19">
        <f>J19/1000000</f>
        <v>-8.8188249756211909E-3</v>
      </c>
      <c r="O19">
        <f>L19/1000000</f>
        <v>-5.5913944087091481E-4</v>
      </c>
      <c r="P19">
        <f>M19/1000000</f>
        <v>-1.7078510510371465E-2</v>
      </c>
      <c r="Q19">
        <f t="shared" ref="Q19:Q28" si="26">N19/G19</f>
        <v>-4.3973369285153122E-2</v>
      </c>
      <c r="R19">
        <f>O19/G19</f>
        <v>-2.7880409446020184E-3</v>
      </c>
      <c r="S19">
        <f>P19/G19</f>
        <v>-8.5158697625704216E-2</v>
      </c>
      <c r="T19">
        <f t="shared" ref="T19:T28" si="27">(Q19*$B$5*(273+28))/1.1</f>
        <v>-0.98737238686874451</v>
      </c>
      <c r="U19" s="17">
        <f>(E20-E19)*(24)*(T19)</f>
        <v>-1.9747447729328722</v>
      </c>
      <c r="V19">
        <f>(R19*$B$5*(273+28))/1.1</f>
        <v>-6.2602313329875606E-2</v>
      </c>
      <c r="W19" s="17">
        <f>(E20-E19)*(24)*(V19)</f>
        <v>-0.12520462660873613</v>
      </c>
      <c r="X19">
        <f>(S19*$B$5*(273+28))/1.1</f>
        <v>-1.9121424604076127</v>
      </c>
      <c r="Y19" s="17">
        <f>(E20-E19)*(24)*(X19)</f>
        <v>-3.8242849192570065</v>
      </c>
      <c r="Z19">
        <f t="shared" ref="Z19:Z28" si="28">T19*(1/$B$9)</f>
        <v>-29464.724257988233</v>
      </c>
      <c r="AA19" s="17">
        <f>(E20-E19)*(24)*(Z19)</f>
        <v>-58929.44849196545</v>
      </c>
      <c r="AB19">
        <f>V19*(1/$B$9)</f>
        <v>-1868.1501778945039</v>
      </c>
      <c r="AC19" s="17">
        <f>(E20-E19)*(24)*(AB19)</f>
        <v>-3736.3003542666388</v>
      </c>
      <c r="AD19">
        <f>X19*(1/$B$9)</f>
        <v>-57061.298338081942</v>
      </c>
      <c r="AE19" s="17">
        <f>(E20-E19)*(24)*(AD19)</f>
        <v>-114122.59662966421</v>
      </c>
      <c r="AF19" s="17">
        <f>W19-U19</f>
        <v>1.8495401463241361</v>
      </c>
      <c r="AG19" s="17">
        <f>AC19-AA19</f>
        <v>55193.148137698809</v>
      </c>
    </row>
    <row r="20" spans="1:33" x14ac:dyDescent="0.2">
      <c r="A20" s="20">
        <v>1.0416666666666667</v>
      </c>
      <c r="B20" s="18">
        <f>('Single Box Model Fluxes'!P11-'Single Box Model Fluxes'!P10)/('Single Box Model Fluxes'!A11-'Single Box Model Fluxes'!A10)*(1/24)-('Single Box Model Fluxes'!C34+'Single Box Model Fluxes'!D34+('Single Box Model Fluxes'!AB34*-1.45))</f>
        <v>-13.093918368334771</v>
      </c>
      <c r="C20" s="18">
        <v>9.2981823958409109</v>
      </c>
      <c r="E20" s="20">
        <f>42323.3333333333-365</f>
        <v>41958.333333333299</v>
      </c>
      <c r="F20" s="18">
        <f>'All Experimental Diel Data'!O20</f>
        <v>200.9375</v>
      </c>
      <c r="G20">
        <f t="shared" ref="G20:G29" si="29">F20/($B$1*($B$4-$B$3))</f>
        <v>0.19275508132473398</v>
      </c>
      <c r="H20" s="30">
        <f>'All Experimental Diel Data'!J20</f>
        <v>12.904030000000001</v>
      </c>
      <c r="I20">
        <f t="shared" ref="I20:I29" si="30">H20/($B$2*($B$4-$B$3))</f>
        <v>3.7060967057715846E-4</v>
      </c>
      <c r="J20">
        <f t="shared" ref="J20:J28" si="31">-1*B30*1025</f>
        <v>-13347.971266170256</v>
      </c>
      <c r="K20">
        <f t="shared" ref="K20:K28" si="32">C30*1025</f>
        <v>8264.5385134364551</v>
      </c>
      <c r="L20">
        <f t="shared" ref="L20:L28" si="33">J20+K20</f>
        <v>-5083.432752733801</v>
      </c>
      <c r="M20">
        <f t="shared" ref="M20:M28" si="34">J20-K20</f>
        <v>-21612.509779606713</v>
      </c>
      <c r="N20">
        <f t="shared" ref="N20:N28" si="35">J20/1000000</f>
        <v>-1.3347971266170256E-2</v>
      </c>
      <c r="O20">
        <f t="shared" ref="O20:O28" si="36">L20/1000000</f>
        <v>-5.0834327527338012E-3</v>
      </c>
      <c r="P20">
        <f t="shared" ref="P20:P28" si="37">M20/1000000</f>
        <v>-2.1612509779606714E-2</v>
      </c>
      <c r="Q20">
        <f t="shared" si="26"/>
        <v>-6.9248349638487416E-2</v>
      </c>
      <c r="R20">
        <f t="shared" ref="R20:R28" si="38">O20/G20</f>
        <v>-2.6372496734183393E-2</v>
      </c>
      <c r="S20">
        <f t="shared" ref="S20:S28" si="39">P20/G20</f>
        <v>-0.11212420254279147</v>
      </c>
      <c r="T20">
        <f t="shared" si="27"/>
        <v>-1.5548935499095355</v>
      </c>
      <c r="U20" s="17">
        <f t="shared" ref="U20:U28" si="40">(E21-E20)*(24)*(T20)+U19</f>
        <v>-5.0845318752861317</v>
      </c>
      <c r="V20">
        <f t="shared" ref="V20:V28" si="41">(R20*$B$5*(273+28))/1.1</f>
        <v>-0.59216465491332326</v>
      </c>
      <c r="W20" s="17">
        <f>(E21-E20)*(24)*(V20)+W19</f>
        <v>-1.3095339374005013</v>
      </c>
      <c r="X20">
        <f t="shared" ref="X20:X28" si="42">(S20*$B$5*(273+28))/1.1</f>
        <v>-2.5176224449057489</v>
      </c>
      <c r="Y20" s="17">
        <f>(E21-E20)*(24)*(X20)+Y19</f>
        <v>-8.8595298131717612</v>
      </c>
      <c r="Z20">
        <f t="shared" si="28"/>
        <v>-46400.436459338867</v>
      </c>
      <c r="AA20" s="17">
        <f t="shared" ref="AA20:AA28" si="43">(E21-E20)*(24)*(Z20)+AA19</f>
        <v>-151730.32148626729</v>
      </c>
      <c r="AB20">
        <f t="shared" ref="AB20:AB28" si="44">V20*(1/$B$9)</f>
        <v>-17671.112241330342</v>
      </c>
      <c r="AC20" s="17">
        <f>(E21-E20)*(24)*(AB20)+AC19</f>
        <v>-39078.524865727959</v>
      </c>
      <c r="AD20">
        <f t="shared" ref="AD20:AD28" si="45">X20*(1/$B$9)</f>
        <v>-75129.760677347425</v>
      </c>
      <c r="AE20" s="17">
        <f>(E21-E20)*(24)*(AD20)+AE19</f>
        <v>-264382.11810680665</v>
      </c>
      <c r="AF20" s="17">
        <f t="shared" ref="AF20:AF28" si="46">W20-U20</f>
        <v>3.7749979378856304</v>
      </c>
      <c r="AG20" s="17">
        <f t="shared" ref="AG20:AG28" si="47">AC20-AA20</f>
        <v>112651.79662053933</v>
      </c>
    </row>
    <row r="21" spans="1:33" x14ac:dyDescent="0.2">
      <c r="A21" s="20">
        <v>1.125</v>
      </c>
      <c r="B21" s="18">
        <f>('Single Box Model Fluxes'!P12-'Single Box Model Fluxes'!P11)/('Single Box Model Fluxes'!A12-'Single Box Model Fluxes'!A11)*(1/24)-('Single Box Model Fluxes'!C35+'Single Box Model Fluxes'!D35+('Single Box Model Fluxes'!AB35*-1.45))</f>
        <v>-3.592330902312777</v>
      </c>
      <c r="C21" s="18">
        <v>9.3122568980853</v>
      </c>
      <c r="E21" s="20">
        <f>42323.4166666667-365</f>
        <v>41958.416666666701</v>
      </c>
      <c r="F21" s="18">
        <f>'All Experimental Diel Data'!O21</f>
        <v>240</v>
      </c>
      <c r="G21">
        <f t="shared" si="29"/>
        <v>0.23022690895395911</v>
      </c>
      <c r="H21" s="30">
        <f>'All Experimental Diel Data'!J21</f>
        <v>10.964109000000001</v>
      </c>
      <c r="I21">
        <f t="shared" si="30"/>
        <v>3.1489424812729499E-4</v>
      </c>
      <c r="J21">
        <f t="shared" si="31"/>
        <v>-9598.7619002936626</v>
      </c>
      <c r="K21">
        <f t="shared" si="32"/>
        <v>8258.3864141150443</v>
      </c>
      <c r="L21">
        <f t="shared" si="33"/>
        <v>-1340.3754861786183</v>
      </c>
      <c r="M21">
        <f t="shared" si="34"/>
        <v>-17857.148314408707</v>
      </c>
      <c r="N21">
        <f t="shared" si="35"/>
        <v>-9.5987619002936633E-3</v>
      </c>
      <c r="O21">
        <f t="shared" si="36"/>
        <v>-1.3403754861786184E-3</v>
      </c>
      <c r="P21">
        <f t="shared" si="37"/>
        <v>-1.7857148314408707E-2</v>
      </c>
      <c r="Q21">
        <f t="shared" si="26"/>
        <v>-4.1692615098321228E-2</v>
      </c>
      <c r="R21">
        <f t="shared" si="38"/>
        <v>-5.8219757728088482E-3</v>
      </c>
      <c r="S21">
        <f t="shared" si="39"/>
        <v>-7.7563254423833605E-2</v>
      </c>
      <c r="T21">
        <f t="shared" si="27"/>
        <v>-0.93616062525207389</v>
      </c>
      <c r="U21" s="17">
        <f t="shared" si="40"/>
        <v>-6.9568557246094009</v>
      </c>
      <c r="V21">
        <f t="shared" si="41"/>
        <v>-0.13072589634452111</v>
      </c>
      <c r="W21" s="17">
        <f t="shared" ref="W21:W28" si="48">(E22-E21)*(24)*(V21)+W20</f>
        <v>-1.5709860929898301</v>
      </c>
      <c r="X21">
        <f t="shared" si="42"/>
        <v>-1.7415953541596265</v>
      </c>
      <c r="Y21" s="17">
        <f t="shared" ref="Y21:Y28" si="49">(E22-E21)*(24)*(X21)+Y20</f>
        <v>-12.342725356228971</v>
      </c>
      <c r="Z21">
        <f t="shared" si="28"/>
        <v>-27936.485819412563</v>
      </c>
      <c r="AA21" s="17">
        <f t="shared" si="43"/>
        <v>-207603.37067788793</v>
      </c>
      <c r="AB21">
        <f t="shared" si="44"/>
        <v>-3901.0636112529878</v>
      </c>
      <c r="AC21" s="17">
        <f t="shared" ref="AC21:AC28" si="50">(E22-E21)*(24)*(AB21)+AC20</f>
        <v>-46880.66291774164</v>
      </c>
      <c r="AD21">
        <f t="shared" si="45"/>
        <v>-51971.908027572128</v>
      </c>
      <c r="AE21" s="17">
        <f t="shared" ref="AE21:AE28" si="51">(E22-E21)*(24)*(AD21)+AE20</f>
        <v>-368326.07843803422</v>
      </c>
      <c r="AF21" s="17">
        <f t="shared" si="46"/>
        <v>5.3858696316195704</v>
      </c>
      <c r="AG21" s="17">
        <f t="shared" si="47"/>
        <v>160722.7077601463</v>
      </c>
    </row>
    <row r="22" spans="1:33" x14ac:dyDescent="0.2">
      <c r="A22" s="20">
        <v>1.2083333333333333</v>
      </c>
      <c r="B22" s="18">
        <f>('Single Box Model Fluxes'!P13-'Single Box Model Fluxes'!P12)/('Single Box Model Fluxes'!A13-'Single Box Model Fluxes'!A12)*(1/24)-('Single Box Model Fluxes'!C36+'Single Box Model Fluxes'!D36+('Single Box Model Fluxes'!AB36*-1.45))</f>
        <v>4.3876848086387197</v>
      </c>
      <c r="C22" s="18">
        <v>9.3485299413126306</v>
      </c>
      <c r="E22" s="20">
        <f>42323.5000001157-365</f>
        <v>41958.500000115702</v>
      </c>
      <c r="F22" s="18">
        <f>'All Experimental Diel Data'!O22</f>
        <v>256.875</v>
      </c>
      <c r="G22">
        <f t="shared" si="29"/>
        <v>0.24641473848978437</v>
      </c>
      <c r="H22" s="30">
        <f>'All Experimental Diel Data'!J22</f>
        <v>9.9123859999999997</v>
      </c>
      <c r="I22">
        <f t="shared" si="30"/>
        <v>2.8468828033518498E-4</v>
      </c>
      <c r="J22">
        <f t="shared" si="31"/>
        <v>-10512.794739510717</v>
      </c>
      <c r="K22">
        <f t="shared" si="32"/>
        <v>3800.6714909283901</v>
      </c>
      <c r="L22">
        <f t="shared" si="33"/>
        <v>-6712.1232485823266</v>
      </c>
      <c r="M22">
        <f t="shared" si="34"/>
        <v>-14313.466230439106</v>
      </c>
      <c r="N22">
        <f t="shared" si="35"/>
        <v>-1.0512794739510717E-2</v>
      </c>
      <c r="O22">
        <f t="shared" si="36"/>
        <v>-6.712123248582327E-3</v>
      </c>
      <c r="P22">
        <f t="shared" si="37"/>
        <v>-1.4313466230439106E-2</v>
      </c>
      <c r="Q22">
        <f t="shared" si="26"/>
        <v>-4.2663011165407813E-2</v>
      </c>
      <c r="R22">
        <f t="shared" si="38"/>
        <v>-2.7239130620673454E-2</v>
      </c>
      <c r="S22">
        <f t="shared" si="39"/>
        <v>-5.8086891710142169E-2</v>
      </c>
      <c r="T22">
        <f t="shared" si="27"/>
        <v>-0.95794977392417313</v>
      </c>
      <c r="U22" s="17">
        <f t="shared" si="40"/>
        <v>-10.788657481006759</v>
      </c>
      <c r="V22">
        <f t="shared" si="41"/>
        <v>-0.61162394090744732</v>
      </c>
      <c r="W22" s="17">
        <f t="shared" si="48"/>
        <v>-4.0174835554020305</v>
      </c>
      <c r="X22">
        <f t="shared" si="42"/>
        <v>-1.3042756069408987</v>
      </c>
      <c r="Y22" s="17">
        <f t="shared" si="49"/>
        <v>-17.559831406611487</v>
      </c>
      <c r="Z22">
        <f t="shared" si="28"/>
        <v>-28586.707828836712</v>
      </c>
      <c r="AA22" s="17">
        <f t="shared" si="43"/>
        <v>-321950.28139267158</v>
      </c>
      <c r="AB22">
        <f t="shared" si="44"/>
        <v>-18251.807532893541</v>
      </c>
      <c r="AC22" s="17">
        <f t="shared" si="50"/>
        <v>-119887.94374361917</v>
      </c>
      <c r="AD22">
        <f t="shared" si="45"/>
        <v>-38921.608124779879</v>
      </c>
      <c r="AE22" s="17">
        <f t="shared" si="51"/>
        <v>-524012.61904172401</v>
      </c>
      <c r="AF22" s="17">
        <f t="shared" si="46"/>
        <v>6.7711739256047281</v>
      </c>
      <c r="AG22" s="17">
        <f t="shared" si="47"/>
        <v>202062.33764905241</v>
      </c>
    </row>
    <row r="23" spans="1:33" x14ac:dyDescent="0.2">
      <c r="A23" s="20">
        <v>1.2916666666666667</v>
      </c>
      <c r="B23" s="18">
        <f>('Single Box Model Fluxes'!P14-'Single Box Model Fluxes'!P13)/('Single Box Model Fluxes'!A14-'Single Box Model Fluxes'!A13)*(1/24)-('Single Box Model Fluxes'!C37+'Single Box Model Fluxes'!D37+('Single Box Model Fluxes'!AB37*-1.45))</f>
        <v>6.4071308602853332</v>
      </c>
      <c r="C23" s="18">
        <v>9.3552326288147505</v>
      </c>
      <c r="E23" s="20">
        <f>42323.6666668981-365</f>
        <v>41958.666666898098</v>
      </c>
      <c r="F23" s="18">
        <f>'All Experimental Diel Data'!O23</f>
        <v>263.75</v>
      </c>
      <c r="G23">
        <f t="shared" si="29"/>
        <v>0.25300978015252801</v>
      </c>
      <c r="H23" s="30">
        <f>'All Experimental Diel Data'!J23</f>
        <v>9.3915009999999999</v>
      </c>
      <c r="I23">
        <f t="shared" si="30"/>
        <v>2.6972822380566801E-4</v>
      </c>
      <c r="J23">
        <f t="shared" si="31"/>
        <v>-16912.463151556607</v>
      </c>
      <c r="K23">
        <f t="shared" si="32"/>
        <v>8257.4629621279473</v>
      </c>
      <c r="L23">
        <f t="shared" si="33"/>
        <v>-8655.0001894286597</v>
      </c>
      <c r="M23">
        <f t="shared" si="34"/>
        <v>-25169.926113684553</v>
      </c>
      <c r="N23">
        <f t="shared" si="35"/>
        <v>-1.6912463151556607E-2</v>
      </c>
      <c r="O23">
        <f t="shared" si="36"/>
        <v>-8.6550001894286598E-3</v>
      </c>
      <c r="P23">
        <f t="shared" si="37"/>
        <v>-2.5169926113684554E-2</v>
      </c>
      <c r="Q23">
        <f t="shared" si="26"/>
        <v>-6.6845096428133563E-2</v>
      </c>
      <c r="R23">
        <f t="shared" si="38"/>
        <v>-3.4208164538979312E-2</v>
      </c>
      <c r="S23">
        <f t="shared" si="39"/>
        <v>-9.9482028317287807E-2</v>
      </c>
      <c r="T23">
        <f t="shared" si="27"/>
        <v>-1.5009312109500275</v>
      </c>
      <c r="U23" s="17">
        <f t="shared" si="40"/>
        <v>-13.790521991121654</v>
      </c>
      <c r="V23">
        <f t="shared" si="41"/>
        <v>-0.76810573354575118</v>
      </c>
      <c r="W23" s="17">
        <f t="shared" si="48"/>
        <v>-5.5536960911433022</v>
      </c>
      <c r="X23">
        <f t="shared" si="42"/>
        <v>-2.2337566883543039</v>
      </c>
      <c r="Y23" s="17">
        <f t="shared" si="49"/>
        <v>-22.027347891100007</v>
      </c>
      <c r="Z23">
        <f t="shared" si="28"/>
        <v>-44790.116524425226</v>
      </c>
      <c r="AA23" s="17">
        <f t="shared" si="43"/>
        <v>-411530.57675709343</v>
      </c>
      <c r="AB23">
        <f t="shared" si="44"/>
        <v>-22921.467058318605</v>
      </c>
      <c r="AC23" s="17">
        <f t="shared" si="50"/>
        <v>-165730.90975042386</v>
      </c>
      <c r="AD23">
        <f t="shared" si="45"/>
        <v>-66658.765990531843</v>
      </c>
      <c r="AE23" s="17">
        <f t="shared" si="51"/>
        <v>-657330.24376376299</v>
      </c>
      <c r="AF23" s="17">
        <f t="shared" si="46"/>
        <v>8.2368258999783528</v>
      </c>
      <c r="AG23" s="17">
        <f t="shared" si="47"/>
        <v>245799.66700666957</v>
      </c>
    </row>
    <row r="24" spans="1:33" x14ac:dyDescent="0.2">
      <c r="A24" s="20">
        <v>1.375</v>
      </c>
      <c r="B24" s="18">
        <f>('Single Box Model Fluxes'!P15-'Single Box Model Fluxes'!P14)/('Single Box Model Fluxes'!A15-'Single Box Model Fluxes'!A14)*(1/24)-('Single Box Model Fluxes'!C38+'Single Box Model Fluxes'!D38+('Single Box Model Fluxes'!AB38*-1.45))</f>
        <v>-9.3821573541768721</v>
      </c>
      <c r="C24" s="18">
        <v>9.3621070710891594</v>
      </c>
      <c r="E24" s="20">
        <f>42323.7500002894-365</f>
        <v>41958.750000289401</v>
      </c>
      <c r="F24" s="18">
        <f>'All Experimental Diel Data'!O24</f>
        <v>228.75</v>
      </c>
      <c r="G24">
        <f t="shared" si="29"/>
        <v>0.21943502259674227</v>
      </c>
      <c r="H24" s="30">
        <f>'All Experimental Diel Data'!J24</f>
        <v>10.511736000000001</v>
      </c>
      <c r="I24">
        <f t="shared" si="30"/>
        <v>3.0190188771678748E-4</v>
      </c>
      <c r="J24">
        <f t="shared" si="31"/>
        <v>-29769.450384742886</v>
      </c>
      <c r="K24">
        <f t="shared" si="32"/>
        <v>3794.6646316860924</v>
      </c>
      <c r="L24">
        <f t="shared" si="33"/>
        <v>-25974.785753056793</v>
      </c>
      <c r="M24">
        <f t="shared" si="34"/>
        <v>-33564.115016428979</v>
      </c>
      <c r="N24">
        <f t="shared" si="35"/>
        <v>-2.9769450384742886E-2</v>
      </c>
      <c r="O24">
        <f t="shared" si="36"/>
        <v>-2.5974785753056794E-2</v>
      </c>
      <c r="P24">
        <f t="shared" si="37"/>
        <v>-3.3564115016428982E-2</v>
      </c>
      <c r="Q24">
        <f t="shared" si="26"/>
        <v>-0.13566407965537239</v>
      </c>
      <c r="R24">
        <f t="shared" si="38"/>
        <v>-0.11837119455990802</v>
      </c>
      <c r="S24">
        <f t="shared" si="39"/>
        <v>-0.15295696475083678</v>
      </c>
      <c r="T24">
        <f t="shared" si="27"/>
        <v>-3.0461838226006219</v>
      </c>
      <c r="U24" s="17">
        <f t="shared" si="40"/>
        <v>-25.975265742284343</v>
      </c>
      <c r="V24">
        <f t="shared" si="41"/>
        <v>-2.6578916014193688</v>
      </c>
      <c r="W24" s="17">
        <f t="shared" si="48"/>
        <v>-16.185269879101295</v>
      </c>
      <c r="X24">
        <f t="shared" si="42"/>
        <v>-3.4344760437818755</v>
      </c>
      <c r="Y24" s="17">
        <f t="shared" si="49"/>
        <v>-35.765261605467394</v>
      </c>
      <c r="Z24">
        <f t="shared" si="28"/>
        <v>-90902.852425022662</v>
      </c>
      <c r="AA24" s="17">
        <f t="shared" si="43"/>
        <v>-775142.2389393982</v>
      </c>
      <c r="AB24">
        <f t="shared" si="44"/>
        <v>-79315.609981561167</v>
      </c>
      <c r="AC24" s="17">
        <f t="shared" si="50"/>
        <v>-482993.56997537514</v>
      </c>
      <c r="AD24">
        <f t="shared" si="45"/>
        <v>-102490.09486848419</v>
      </c>
      <c r="AE24" s="17">
        <f t="shared" si="51"/>
        <v>-1067290.9079034212</v>
      </c>
      <c r="AF24" s="17">
        <f t="shared" si="46"/>
        <v>9.7899958631830479</v>
      </c>
      <c r="AG24" s="17">
        <f t="shared" si="47"/>
        <v>292148.66896402306</v>
      </c>
    </row>
    <row r="25" spans="1:33" x14ac:dyDescent="0.2">
      <c r="A25" s="20">
        <v>1.4583333333333333</v>
      </c>
      <c r="B25" s="18">
        <f>('Single Box Model Fluxes'!P16-'Single Box Model Fluxes'!P15)/('Single Box Model Fluxes'!A16-'Single Box Model Fluxes'!A15)*(1/24)-('Single Box Model Fluxes'!C39+'Single Box Model Fluxes'!D39+('Single Box Model Fluxes'!AB39*-1.45))</f>
        <v>9.5552222401293001</v>
      </c>
      <c r="C25" s="18"/>
      <c r="E25" s="20">
        <f>42323.9166670718-365</f>
        <v>41958.916667071797</v>
      </c>
      <c r="F25" s="18">
        <f>'All Experimental Diel Data'!O25</f>
        <v>170.625</v>
      </c>
      <c r="G25">
        <f t="shared" si="29"/>
        <v>0.1636769430844553</v>
      </c>
      <c r="H25" s="30">
        <f>'All Experimental Diel Data'!J25</f>
        <v>14.836183</v>
      </c>
      <c r="I25">
        <f t="shared" si="30"/>
        <v>4.2610199249788153E-4</v>
      </c>
      <c r="J25">
        <f t="shared" si="31"/>
        <v>-34718.071312388565</v>
      </c>
      <c r="K25">
        <f t="shared" si="32"/>
        <v>8329.600607993978</v>
      </c>
      <c r="L25">
        <f t="shared" si="33"/>
        <v>-26388.470704394589</v>
      </c>
      <c r="M25">
        <f t="shared" si="34"/>
        <v>-43047.671920382541</v>
      </c>
      <c r="N25">
        <f t="shared" si="35"/>
        <v>-3.4718071312388563E-2</v>
      </c>
      <c r="O25">
        <f t="shared" si="36"/>
        <v>-2.6388470704394588E-2</v>
      </c>
      <c r="P25">
        <f t="shared" si="37"/>
        <v>-4.3047671920382544E-2</v>
      </c>
      <c r="Q25">
        <f t="shared" si="26"/>
        <v>-0.21211339030491586</v>
      </c>
      <c r="R25">
        <f t="shared" si="38"/>
        <v>-0.16122289558388478</v>
      </c>
      <c r="S25">
        <f t="shared" si="39"/>
        <v>-0.26300388502594696</v>
      </c>
      <c r="T25">
        <f t="shared" si="27"/>
        <v>-4.7627668263049969</v>
      </c>
      <c r="U25" s="17">
        <f t="shared" si="40"/>
        <v>-35.500806009590598</v>
      </c>
      <c r="V25">
        <f t="shared" si="41"/>
        <v>-3.6200781931962971</v>
      </c>
      <c r="W25" s="17">
        <f t="shared" si="48"/>
        <v>-23.425431293184424</v>
      </c>
      <c r="X25">
        <f t="shared" si="42"/>
        <v>-5.9054554594136981</v>
      </c>
      <c r="Y25" s="17">
        <f t="shared" si="49"/>
        <v>-47.576180725996778</v>
      </c>
      <c r="Z25">
        <f t="shared" si="28"/>
        <v>-142128.35310010103</v>
      </c>
      <c r="AA25" s="17">
        <f t="shared" si="43"/>
        <v>-1059399.1425324017</v>
      </c>
      <c r="AB25">
        <f t="shared" si="44"/>
        <v>-108028.751029944</v>
      </c>
      <c r="AC25" s="17">
        <f t="shared" si="50"/>
        <v>-699051.22206935077</v>
      </c>
      <c r="AD25">
        <f t="shared" si="45"/>
        <v>-176227.95517025809</v>
      </c>
      <c r="AE25" s="17">
        <f t="shared" si="51"/>
        <v>-1419747.0629954524</v>
      </c>
      <c r="AF25" s="17">
        <f t="shared" si="46"/>
        <v>12.075374716406174</v>
      </c>
      <c r="AG25" s="17">
        <f t="shared" si="47"/>
        <v>360347.92046305095</v>
      </c>
    </row>
    <row r="26" spans="1:33" x14ac:dyDescent="0.2">
      <c r="E26" s="20">
        <f>42324.000000463-365</f>
        <v>41959.000000462998</v>
      </c>
      <c r="F26" s="18">
        <f>'All Experimental Diel Data'!O26</f>
        <v>174.375</v>
      </c>
      <c r="G26">
        <f t="shared" si="29"/>
        <v>0.16727423853686091</v>
      </c>
      <c r="H26" s="30">
        <f>'All Experimental Diel Data'!J26</f>
        <v>15.059975</v>
      </c>
      <c r="I26">
        <f t="shared" si="30"/>
        <v>4.3252940156294134E-4</v>
      </c>
      <c r="J26">
        <f t="shared" si="31"/>
        <v>-36826.142617565034</v>
      </c>
      <c r="K26">
        <f t="shared" si="32"/>
        <v>8288.6244293248692</v>
      </c>
      <c r="L26">
        <f t="shared" si="33"/>
        <v>-28537.518188240167</v>
      </c>
      <c r="M26">
        <f t="shared" si="34"/>
        <v>-45114.767046889901</v>
      </c>
      <c r="N26">
        <f t="shared" si="35"/>
        <v>-3.6826142617565033E-2</v>
      </c>
      <c r="O26">
        <f t="shared" si="36"/>
        <v>-2.8537518188240168E-2</v>
      </c>
      <c r="P26">
        <f t="shared" si="37"/>
        <v>-4.5114767046889902E-2</v>
      </c>
      <c r="Q26">
        <f t="shared" si="26"/>
        <v>-0.22015429835270148</v>
      </c>
      <c r="R26">
        <f t="shared" si="38"/>
        <v>-0.1706031869453202</v>
      </c>
      <c r="S26">
        <f t="shared" si="39"/>
        <v>-0.26970540976008278</v>
      </c>
      <c r="T26">
        <f t="shared" si="27"/>
        <v>-4.943316342996563</v>
      </c>
      <c r="U26" s="17">
        <f t="shared" si="40"/>
        <v>-45.387445561033438</v>
      </c>
      <c r="V26">
        <f t="shared" si="41"/>
        <v>-3.8307020508089522</v>
      </c>
      <c r="W26" s="17">
        <f t="shared" si="48"/>
        <v>-31.086840715014603</v>
      </c>
      <c r="X26">
        <f t="shared" si="42"/>
        <v>-6.0559306351841764</v>
      </c>
      <c r="Y26" s="17">
        <f t="shared" si="49"/>
        <v>-59.68805040705228</v>
      </c>
      <c r="Z26">
        <f t="shared" si="28"/>
        <v>-147516.23086028517</v>
      </c>
      <c r="AA26" s="17">
        <f t="shared" si="43"/>
        <v>-1354431.8091286453</v>
      </c>
      <c r="AB26">
        <f t="shared" si="44"/>
        <v>-114314.0937934698</v>
      </c>
      <c r="AC26" s="17">
        <f t="shared" si="50"/>
        <v>-927679.5684196807</v>
      </c>
      <c r="AD26">
        <f t="shared" si="45"/>
        <v>-180718.36792710063</v>
      </c>
      <c r="AE26" s="17">
        <f t="shared" si="51"/>
        <v>-1781184.0498376102</v>
      </c>
      <c r="AF26" s="17">
        <f t="shared" si="46"/>
        <v>14.300604846018835</v>
      </c>
      <c r="AG26" s="17">
        <f t="shared" si="47"/>
        <v>426752.24070896464</v>
      </c>
    </row>
    <row r="27" spans="1:33" x14ac:dyDescent="0.2">
      <c r="A27" s="10" t="s">
        <v>84</v>
      </c>
      <c r="B27" s="20"/>
      <c r="C27" s="20"/>
      <c r="E27" s="20">
        <f>42324.0833338542-365</f>
        <v>41959.0833338542</v>
      </c>
      <c r="F27" s="18">
        <f>'All Experimental Diel Data'!O27</f>
        <v>172.5</v>
      </c>
      <c r="G27">
        <f t="shared" si="29"/>
        <v>0.1654755908106581</v>
      </c>
      <c r="H27" s="30">
        <f>'All Experimental Diel Data'!J27</f>
        <v>15.467644</v>
      </c>
      <c r="I27">
        <f t="shared" si="30"/>
        <v>4.4423784255343186E-4</v>
      </c>
      <c r="J27">
        <f t="shared" si="31"/>
        <v>-38047.833356278017</v>
      </c>
      <c r="K27">
        <f t="shared" si="32"/>
        <v>8288.9369143469412</v>
      </c>
      <c r="L27">
        <f t="shared" si="33"/>
        <v>-29758.896441931076</v>
      </c>
      <c r="M27">
        <f t="shared" si="34"/>
        <v>-46336.770270624955</v>
      </c>
      <c r="N27">
        <f t="shared" si="35"/>
        <v>-3.8047833356278017E-2</v>
      </c>
      <c r="O27">
        <f t="shared" si="36"/>
        <v>-2.9758896441931075E-2</v>
      </c>
      <c r="P27">
        <f t="shared" si="37"/>
        <v>-4.6336770270624952E-2</v>
      </c>
      <c r="Q27">
        <f t="shared" si="26"/>
        <v>-0.22993018589559494</v>
      </c>
      <c r="R27">
        <f t="shared" si="38"/>
        <v>-0.17983858704563899</v>
      </c>
      <c r="S27">
        <f t="shared" si="39"/>
        <v>-0.28002178474555084</v>
      </c>
      <c r="T27">
        <f t="shared" si="27"/>
        <v>-5.1628228664652154</v>
      </c>
      <c r="U27" s="17">
        <f t="shared" si="40"/>
        <v>-55.71309846427188</v>
      </c>
      <c r="V27">
        <f t="shared" si="41"/>
        <v>-4.038072538651428</v>
      </c>
      <c r="W27" s="17">
        <f t="shared" si="48"/>
        <v>-39.16299140053308</v>
      </c>
      <c r="X27">
        <f t="shared" si="42"/>
        <v>-6.287573194279001</v>
      </c>
      <c r="Y27" s="17">
        <f t="shared" si="49"/>
        <v>-72.263205528010673</v>
      </c>
      <c r="Z27">
        <f t="shared" si="28"/>
        <v>-154066.6461573389</v>
      </c>
      <c r="AA27" s="17">
        <f t="shared" si="43"/>
        <v>-1662565.3154164413</v>
      </c>
      <c r="AB27">
        <f t="shared" si="44"/>
        <v>-120502.35095437751</v>
      </c>
      <c r="AC27" s="17">
        <f t="shared" si="50"/>
        <v>-1168684.4376862929</v>
      </c>
      <c r="AD27">
        <f t="shared" si="45"/>
        <v>-187630.9413603002</v>
      </c>
      <c r="AE27" s="17">
        <f t="shared" si="51"/>
        <v>-2156446.1931465897</v>
      </c>
      <c r="AF27" s="17">
        <f t="shared" si="46"/>
        <v>16.5501070637388</v>
      </c>
      <c r="AG27" s="17">
        <f t="shared" si="47"/>
        <v>493880.87773014838</v>
      </c>
    </row>
    <row r="28" spans="1:33" x14ac:dyDescent="0.2">
      <c r="A28" t="s">
        <v>99</v>
      </c>
      <c r="B28" s="18" t="s">
        <v>362</v>
      </c>
      <c r="C28" s="18" t="s">
        <v>363</v>
      </c>
      <c r="E28" s="20">
        <f>42324.1666672454-365</f>
        <v>41959.166667245401</v>
      </c>
      <c r="F28" s="18">
        <f>'All Experimental Diel Data'!O28</f>
        <v>161.875</v>
      </c>
      <c r="G28">
        <f t="shared" si="29"/>
        <v>0.15528325369550888</v>
      </c>
      <c r="H28" s="30">
        <f>'All Experimental Diel Data'!J28</f>
        <v>16.399994</v>
      </c>
      <c r="I28">
        <f t="shared" si="30"/>
        <v>4.7101536293757645E-4</v>
      </c>
      <c r="J28">
        <f t="shared" si="31"/>
        <v>-28165.089545953728</v>
      </c>
      <c r="K28">
        <f t="shared" si="32"/>
        <v>8302.3187850294889</v>
      </c>
      <c r="L28">
        <f t="shared" si="33"/>
        <v>-19862.770760924239</v>
      </c>
      <c r="M28">
        <f t="shared" si="34"/>
        <v>-36467.40833098322</v>
      </c>
      <c r="N28">
        <f t="shared" si="35"/>
        <v>-2.8165089545953727E-2</v>
      </c>
      <c r="O28">
        <f t="shared" si="36"/>
        <v>-1.9862770760924239E-2</v>
      </c>
      <c r="P28">
        <f t="shared" si="37"/>
        <v>-3.646740833098322E-2</v>
      </c>
      <c r="Q28">
        <f t="shared" si="26"/>
        <v>-0.18137879568895407</v>
      </c>
      <c r="R28">
        <f t="shared" si="38"/>
        <v>-0.12791315411172835</v>
      </c>
      <c r="S28">
        <f t="shared" si="39"/>
        <v>-0.23484443726617982</v>
      </c>
      <c r="T28">
        <f t="shared" si="27"/>
        <v>-4.0726561857348313</v>
      </c>
      <c r="U28" s="17">
        <f t="shared" si="40"/>
        <v>-63.858416491988137</v>
      </c>
      <c r="V28">
        <f t="shared" si="41"/>
        <v>-2.8721455358174972</v>
      </c>
      <c r="W28" s="17">
        <f t="shared" si="48"/>
        <v>-44.907286461103716</v>
      </c>
      <c r="X28">
        <f t="shared" si="42"/>
        <v>-5.2731668356521677</v>
      </c>
      <c r="Y28" s="17">
        <f t="shared" si="49"/>
        <v>-82.809546522872566</v>
      </c>
      <c r="Z28">
        <f t="shared" si="28"/>
        <v>-121534.380651278</v>
      </c>
      <c r="AA28" s="17">
        <f t="shared" si="43"/>
        <v>-1905634.2455101733</v>
      </c>
      <c r="AB28">
        <f t="shared" si="44"/>
        <v>-85709.279869626567</v>
      </c>
      <c r="AC28" s="17">
        <f t="shared" si="50"/>
        <v>-1340103.1164615757</v>
      </c>
      <c r="AD28">
        <f t="shared" si="45"/>
        <v>-157359.48143292949</v>
      </c>
      <c r="AE28" s="17">
        <f t="shared" si="51"/>
        <v>-2471165.374558771</v>
      </c>
      <c r="AF28" s="17">
        <f t="shared" si="46"/>
        <v>18.951130030884421</v>
      </c>
      <c r="AG28" s="17">
        <f t="shared" si="47"/>
        <v>565531.12904859753</v>
      </c>
    </row>
    <row r="29" spans="1:33" x14ac:dyDescent="0.2">
      <c r="A29" s="20">
        <f>42323.25-365</f>
        <v>41958.25</v>
      </c>
      <c r="B29" s="18">
        <f>('Single Box Model Fluxes'!P48-'Single Box Model Fluxes'!P47)/('Single Box Model Fluxes'!A48-'Single Box Model Fluxes'!A47)*(1/24)-('Single Box Model Fluxes'!C71+'Single Box Model Fluxes'!D71+('Single Box Model Fluxes'!AB71*-1.45))</f>
        <v>8.6037316835328692</v>
      </c>
      <c r="C29" s="18">
        <v>8.0582297900002704</v>
      </c>
      <c r="E29" s="20">
        <f>42324.2500006366-365</f>
        <v>41959.250000636603</v>
      </c>
      <c r="F29" s="18">
        <f>'All Experimental Diel Data'!O29</f>
        <v>178.4375</v>
      </c>
      <c r="G29">
        <f t="shared" si="29"/>
        <v>0.17117130861030033</v>
      </c>
      <c r="H29" s="30">
        <f>'All Experimental Diel Data'!J29</f>
        <v>14.699607</v>
      </c>
      <c r="I29">
        <f t="shared" si="30"/>
        <v>4.2217946702570377E-4</v>
      </c>
      <c r="U29" s="17"/>
      <c r="V29" s="17"/>
      <c r="W29" s="17"/>
      <c r="X29" s="17"/>
      <c r="Y29" s="17"/>
    </row>
    <row r="30" spans="1:33" x14ac:dyDescent="0.2">
      <c r="A30" s="20">
        <f>42323.3333333333-365</f>
        <v>41958.333333333299</v>
      </c>
      <c r="B30" s="18">
        <f>('Single Box Model Fluxes'!P49-'Single Box Model Fluxes'!P48)/('Single Box Model Fluxes'!A49-'Single Box Model Fluxes'!A48)*(1/24)-('Single Box Model Fluxes'!C72+'Single Box Model Fluxes'!D72+('Single Box Model Fluxes'!AB72*-1.45))</f>
        <v>13.022410991385616</v>
      </c>
      <c r="C30" s="18">
        <v>8.0629644033526393</v>
      </c>
    </row>
    <row r="31" spans="1:33" x14ac:dyDescent="0.2">
      <c r="A31" s="20">
        <f>42323.4166666667-365</f>
        <v>41958.416666666701</v>
      </c>
      <c r="B31" s="18">
        <f>('Single Box Model Fluxes'!P50-'Single Box Model Fluxes'!P49)/('Single Box Model Fluxes'!A50-'Single Box Model Fluxes'!A49)*(1/24)-('Single Box Model Fluxes'!C73+'Single Box Model Fluxes'!D73+('Single Box Model Fluxes'!AB73*-1.45))</f>
        <v>9.3646457563840606</v>
      </c>
      <c r="C31" s="18">
        <v>8.0569623552341891</v>
      </c>
      <c r="E31" s="10" t="s">
        <v>85</v>
      </c>
    </row>
    <row r="32" spans="1:33" x14ac:dyDescent="0.2">
      <c r="A32" s="20">
        <f>42323.5000001157-365</f>
        <v>41958.500000115702</v>
      </c>
      <c r="B32" s="18">
        <f>('Single Box Model Fluxes'!P51-'Single Box Model Fluxes'!P50)/('Single Box Model Fluxes'!A51-'Single Box Model Fluxes'!A50)*(1/24)-('Single Box Model Fluxes'!C74+'Single Box Model Fluxes'!D74+('Single Box Model Fluxes'!AB74*-1.45))</f>
        <v>10.256385111717773</v>
      </c>
      <c r="C32" s="18">
        <v>3.7079721862716002</v>
      </c>
      <c r="E32" t="s">
        <v>99</v>
      </c>
      <c r="F32" s="2" t="s">
        <v>83</v>
      </c>
      <c r="G32" t="s">
        <v>270</v>
      </c>
      <c r="H32" s="2" t="s">
        <v>76</v>
      </c>
      <c r="I32" t="s">
        <v>275</v>
      </c>
      <c r="J32" t="s">
        <v>271</v>
      </c>
      <c r="K32" t="s">
        <v>364</v>
      </c>
      <c r="L32" t="s">
        <v>411</v>
      </c>
      <c r="M32" t="s">
        <v>412</v>
      </c>
      <c r="N32" t="s">
        <v>272</v>
      </c>
      <c r="O32" t="s">
        <v>413</v>
      </c>
      <c r="P32" t="s">
        <v>414</v>
      </c>
      <c r="Q32" t="s">
        <v>273</v>
      </c>
      <c r="R32" t="s">
        <v>415</v>
      </c>
      <c r="S32" t="s">
        <v>416</v>
      </c>
      <c r="T32" t="s">
        <v>276</v>
      </c>
      <c r="U32" t="s">
        <v>283</v>
      </c>
      <c r="V32" t="s">
        <v>417</v>
      </c>
      <c r="W32" t="s">
        <v>418</v>
      </c>
      <c r="X32" t="s">
        <v>419</v>
      </c>
      <c r="Y32" t="s">
        <v>420</v>
      </c>
      <c r="Z32" t="s">
        <v>281</v>
      </c>
      <c r="AA32" t="s">
        <v>282</v>
      </c>
      <c r="AB32" t="s">
        <v>421</v>
      </c>
      <c r="AC32" t="s">
        <v>422</v>
      </c>
      <c r="AD32" t="s">
        <v>423</v>
      </c>
      <c r="AE32" t="s">
        <v>424</v>
      </c>
      <c r="AF32" t="s">
        <v>425</v>
      </c>
      <c r="AG32" t="s">
        <v>426</v>
      </c>
    </row>
    <row r="33" spans="1:33" x14ac:dyDescent="0.2">
      <c r="A33" s="20">
        <f>42323.6666668981-365</f>
        <v>41958.666666898098</v>
      </c>
      <c r="B33" s="18">
        <f>('Single Box Model Fluxes'!P52-'Single Box Model Fluxes'!P51)/('Single Box Model Fluxes'!A52-'Single Box Model Fluxes'!A51)*(1/24)-('Single Box Model Fluxes'!C75+'Single Box Model Fluxes'!D75+('Single Box Model Fluxes'!AB75*-1.45))</f>
        <v>16.49996405029913</v>
      </c>
      <c r="C33" s="18">
        <v>8.0560614264662895</v>
      </c>
      <c r="E33" s="20">
        <v>42300.25</v>
      </c>
      <c r="F33" s="17">
        <f>'All Experimental Diel Data'!O36</f>
        <v>187.34</v>
      </c>
      <c r="G33">
        <f>F33/($B$1*($B$4-$B$3))</f>
        <v>0.17971128801431124</v>
      </c>
      <c r="H33" s="31">
        <f>'All Experimental Diel Data'!J36</f>
        <v>11.059618116988261</v>
      </c>
      <c r="I33">
        <f>H33/($B$2*($B$4-$B$3))</f>
        <v>3.1763731385049421E-4</v>
      </c>
      <c r="J33">
        <f t="shared" ref="J33:J43" si="52">-1*B43*1025</f>
        <v>-4386.3825639249944</v>
      </c>
      <c r="K33">
        <f>C43*1025</f>
        <v>9201.264716010779</v>
      </c>
      <c r="L33">
        <f>J33+K33</f>
        <v>4814.8821520857846</v>
      </c>
      <c r="M33">
        <f>J33-K33</f>
        <v>-13587.647279935773</v>
      </c>
      <c r="N33">
        <f>J33/1000000</f>
        <v>-4.3863825639249947E-3</v>
      </c>
      <c r="O33">
        <f>L33/1000000</f>
        <v>4.8148821520857844E-3</v>
      </c>
      <c r="P33">
        <f>M33/1000000</f>
        <v>-1.3587647279935772E-2</v>
      </c>
      <c r="Q33">
        <f t="shared" ref="Q33:Q43" si="53">N33/G33</f>
        <v>-2.4407941272869219E-2</v>
      </c>
      <c r="R33">
        <f>O33/G33</f>
        <v>2.6792318976103232E-2</v>
      </c>
      <c r="S33">
        <f>P33/G33</f>
        <v>-7.5608201521841653E-2</v>
      </c>
      <c r="T33">
        <f t="shared" ref="T33:T43" si="54">(Q33*$B$5*(273+28))/1.1</f>
        <v>-0.54805277887318715</v>
      </c>
      <c r="U33" s="17">
        <f>(E34-E33)*(24)*(T33)</f>
        <v>-1.0961055577782752</v>
      </c>
      <c r="V33">
        <f>(R33*$B$5*(273+28))/1.1</f>
        <v>0.601591289619819</v>
      </c>
      <c r="W33" s="17">
        <f>(E34-E33)*(24)*(V33)</f>
        <v>1.2031825792746553</v>
      </c>
      <c r="X33">
        <f>(S33*$B$5*(273+28))/1.1</f>
        <v>-1.6976968473661929</v>
      </c>
      <c r="Y33" s="17">
        <f>(E34-E33)*(24)*(X33)</f>
        <v>-3.3953936948312049</v>
      </c>
      <c r="Z33">
        <f t="shared" ref="Z33:Z43" si="55">T33*(1/$B$9)</f>
        <v>-16354.745406171976</v>
      </c>
      <c r="AA33" s="17">
        <f>(E34-E33)*(24)*(Z33)</f>
        <v>-32709.490813295924</v>
      </c>
      <c r="AB33">
        <f>V33*(1/$B$9)</f>
        <v>17952.417649504168</v>
      </c>
      <c r="AC33" s="17">
        <f>(E34-E33)*(24)*(AB33)</f>
        <v>35904.835300053302</v>
      </c>
      <c r="AD33">
        <f>X33*(1/$B$9)</f>
        <v>-50661.908461848107</v>
      </c>
      <c r="AE33" s="17">
        <f>(E34-E33)*(24)*(AD33)</f>
        <v>-101323.81692664513</v>
      </c>
      <c r="AF33" s="17">
        <f>W33-U33</f>
        <v>2.2992881370529306</v>
      </c>
      <c r="AG33" s="17">
        <f>AC33-AA33</f>
        <v>68614.326113349234</v>
      </c>
    </row>
    <row r="34" spans="1:33" x14ac:dyDescent="0.2">
      <c r="A34" s="20">
        <f>42323.7500002894-365</f>
        <v>41958.750000289401</v>
      </c>
      <c r="B34" s="18">
        <f>('Single Box Model Fluxes'!P53-'Single Box Model Fluxes'!P52)/('Single Box Model Fluxes'!A53-'Single Box Model Fluxes'!A52)*(1/24)-('Single Box Model Fluxes'!C76+'Single Box Model Fluxes'!D76+('Single Box Model Fluxes'!AB76*-1.45))</f>
        <v>29.043366229017451</v>
      </c>
      <c r="C34" s="18">
        <v>3.7021118357913099</v>
      </c>
      <c r="E34" s="20">
        <v>42300.333333333336</v>
      </c>
      <c r="F34" s="17">
        <f>'All Experimental Diel Data'!O37</f>
        <v>200.71</v>
      </c>
      <c r="G34">
        <f>F34/($B$1*($B$4-$B$3))</f>
        <v>0.19253684540062141</v>
      </c>
      <c r="H34" s="31">
        <f>'All Experimental Diel Data'!J37</f>
        <v>10.217888079467469</v>
      </c>
      <c r="I34">
        <f>H34/($B$2*($B$4-$B$3))</f>
        <v>2.9346244042564325E-4</v>
      </c>
      <c r="J34">
        <f t="shared" si="52"/>
        <v>1982.0284438481622</v>
      </c>
      <c r="K34">
        <f t="shared" ref="K34:K43" si="56">C44*1025</f>
        <v>7754.7270898622819</v>
      </c>
      <c r="L34">
        <f t="shared" ref="L34:L43" si="57">J34+K34</f>
        <v>9736.7555337104441</v>
      </c>
      <c r="M34">
        <f t="shared" ref="M34:M43" si="58">J34-K34</f>
        <v>-5772.6986460141197</v>
      </c>
      <c r="N34">
        <f>J34/1000000</f>
        <v>1.982028443848162E-3</v>
      </c>
      <c r="O34">
        <f t="shared" ref="O34:O43" si="59">L34/1000000</f>
        <v>9.7367555337104436E-3</v>
      </c>
      <c r="P34">
        <f t="shared" ref="P34:P43" si="60">M34/1000000</f>
        <v>-5.7726986460141195E-3</v>
      </c>
      <c r="Q34">
        <f t="shared" si="53"/>
        <v>1.029428128275423E-2</v>
      </c>
      <c r="R34">
        <f t="shared" ref="R34:R43" si="61">O34/G34</f>
        <v>5.0570868726194568E-2</v>
      </c>
      <c r="S34">
        <f t="shared" ref="S34:S43" si="62">P34/G34</f>
        <v>-2.9982306160686107E-2</v>
      </c>
      <c r="T34">
        <f t="shared" si="54"/>
        <v>0.23114646993136112</v>
      </c>
      <c r="U34" s="17">
        <f t="shared" ref="U34:U43" si="63">(E35-E34)*(24)*(T34)+U33</f>
        <v>-0.63381261794246191</v>
      </c>
      <c r="V34">
        <f t="shared" ref="V34:V43" si="64">(R34*$B$5*(273+28))/1.1</f>
        <v>1.1355117920670108</v>
      </c>
      <c r="W34" s="17">
        <f>(E35-E34)*(24)*(V34)+W33</f>
        <v>3.4742061632764858</v>
      </c>
      <c r="X34">
        <f t="shared" ref="X34:X43" si="65">(S34*$B$5*(273+28))/1.1</f>
        <v>-0.67321885220428856</v>
      </c>
      <c r="Y34" s="17">
        <f>(E35-E34)*(24)*(X34)+Y33</f>
        <v>-4.7418313991614092</v>
      </c>
      <c r="Z34">
        <f t="shared" si="55"/>
        <v>6897.7693627159279</v>
      </c>
      <c r="AA34" s="17">
        <f t="shared" ref="AA34:AA43" si="66">(E35-E34)*(24)*(Z34)+AA33</f>
        <v>-18913.952088667073</v>
      </c>
      <c r="AB34">
        <f t="shared" ref="AB34:AB43" si="67">V34*(1/$B$9)</f>
        <v>33885.433996237727</v>
      </c>
      <c r="AC34" s="17">
        <f>(E35-E34)*(24)*(AB34)+AC33</f>
        <v>103675.70328858399</v>
      </c>
      <c r="AD34">
        <f t="shared" ref="AD34:AD43" si="68">X34*(1/$B$9)</f>
        <v>-20089.895270805871</v>
      </c>
      <c r="AE34" s="17">
        <f>(E35-E34)*(24)*(AD34)+AE33</f>
        <v>-141503.60746591812</v>
      </c>
      <c r="AF34" s="17">
        <f t="shared" ref="AF34:AF43" si="69">W34-U34</f>
        <v>4.1080187812189477</v>
      </c>
      <c r="AG34" s="17">
        <f t="shared" ref="AG34:AG43" si="70">AC34-AA34</f>
        <v>122589.65537725107</v>
      </c>
    </row>
    <row r="35" spans="1:33" x14ac:dyDescent="0.2">
      <c r="A35" s="20">
        <f>42323.9166670718-365</f>
        <v>41958.916667071797</v>
      </c>
      <c r="B35" s="18">
        <f>('Single Box Model Fluxes'!P54-'Single Box Model Fluxes'!P53)/('Single Box Model Fluxes'!A54-'Single Box Model Fluxes'!A53)*(1/24)-('Single Box Model Fluxes'!C77+'Single Box Model Fluxes'!D77+('Single Box Model Fluxes'!AB77*-1.45))</f>
        <v>33.871289085257139</v>
      </c>
      <c r="C35" s="18">
        <v>8.1264396175550999</v>
      </c>
      <c r="E35" s="20">
        <v>42300.416666666664</v>
      </c>
      <c r="F35" s="17">
        <f>'All Experimental Diel Data'!O38</f>
        <v>221.68</v>
      </c>
      <c r="G35">
        <f t="shared" ref="G35:G44" si="71">F35/($B$1*($B$4-$B$3))</f>
        <v>0.21265292157047358</v>
      </c>
      <c r="H35" s="31">
        <f>'All Experimental Diel Data'!J38</f>
        <v>9.2723825295105105</v>
      </c>
      <c r="I35">
        <f t="shared" ref="I35:I44" si="72">H35/($B$2*($B$4-$B$3))</f>
        <v>2.6630708660219245E-4</v>
      </c>
      <c r="J35">
        <f t="shared" si="52"/>
        <v>-341.62956484464843</v>
      </c>
      <c r="K35">
        <f t="shared" si="56"/>
        <v>7818.8163715767296</v>
      </c>
      <c r="L35">
        <f t="shared" si="57"/>
        <v>7477.1868067320811</v>
      </c>
      <c r="M35">
        <f t="shared" si="58"/>
        <v>-8160.4459364213781</v>
      </c>
      <c r="N35">
        <f t="shared" ref="N35:N43" si="73">J35/1000000</f>
        <v>-3.4162956484464841E-4</v>
      </c>
      <c r="O35">
        <f t="shared" si="59"/>
        <v>7.4771868067320807E-3</v>
      </c>
      <c r="P35">
        <f t="shared" si="60"/>
        <v>-8.1604459364213785E-3</v>
      </c>
      <c r="Q35">
        <f t="shared" si="53"/>
        <v>-1.6065124444172366E-3</v>
      </c>
      <c r="R35">
        <f t="shared" si="61"/>
        <v>3.5161458170957352E-2</v>
      </c>
      <c r="S35">
        <f t="shared" si="62"/>
        <v>-3.8374483059791825E-2</v>
      </c>
      <c r="T35">
        <f t="shared" si="54"/>
        <v>-3.6072424118616518E-2</v>
      </c>
      <c r="U35" s="17">
        <f t="shared" si="63"/>
        <v>-0.70595746618179467</v>
      </c>
      <c r="V35">
        <f t="shared" si="64"/>
        <v>0.78951086633621803</v>
      </c>
      <c r="W35" s="17">
        <f t="shared" ref="W35:W43" si="74">(E36-E35)*(24)*(V35)+W34</f>
        <v>5.053227895994878</v>
      </c>
      <c r="X35">
        <f t="shared" si="65"/>
        <v>-0.86165571457345103</v>
      </c>
      <c r="Y35" s="17">
        <f t="shared" ref="Y35:Y43" si="75">(E36-E35)*(24)*(X35)+Y34</f>
        <v>-6.4651428283584664</v>
      </c>
      <c r="Z35">
        <f t="shared" si="55"/>
        <v>-1076.457113959711</v>
      </c>
      <c r="AA35" s="17">
        <f t="shared" si="66"/>
        <v>-21066.866316649153</v>
      </c>
      <c r="AB35">
        <f t="shared" si="67"/>
        <v>23560.229437907583</v>
      </c>
      <c r="AC35" s="17">
        <f t="shared" ref="AC35:AC43" si="76">(E36-E35)*(24)*(AB35)+AC34</f>
        <v>150796.16216577054</v>
      </c>
      <c r="AD35">
        <f t="shared" si="68"/>
        <v>-25713.143665827003</v>
      </c>
      <c r="AE35" s="17">
        <f t="shared" ref="AE35:AE43" si="77">(E36-E35)*(24)*(AD35)+AE34</f>
        <v>-192929.89479906883</v>
      </c>
      <c r="AF35" s="17">
        <f t="shared" si="69"/>
        <v>5.7591853621766731</v>
      </c>
      <c r="AG35" s="17">
        <f t="shared" si="70"/>
        <v>171863.0284824197</v>
      </c>
    </row>
    <row r="36" spans="1:33" x14ac:dyDescent="0.2">
      <c r="A36" s="20">
        <f>42324.000000463-365</f>
        <v>41959.000000462998</v>
      </c>
      <c r="B36" s="18">
        <f>('Single Box Model Fluxes'!P55-'Single Box Model Fluxes'!P54)/('Single Box Model Fluxes'!A55-'Single Box Model Fluxes'!A54)*(1/24)-('Single Box Model Fluxes'!C78+'Single Box Model Fluxes'!D78+('Single Box Model Fluxes'!AB78*-1.45))</f>
        <v>35.927944017136618</v>
      </c>
      <c r="C36" s="18">
        <v>8.0864628578779207</v>
      </c>
      <c r="E36" s="20">
        <v>42300.5</v>
      </c>
      <c r="F36" s="17">
        <f>'All Experimental Diel Data'!O39</f>
        <v>229.12</v>
      </c>
      <c r="G36">
        <f t="shared" si="71"/>
        <v>0.2197899557480463</v>
      </c>
      <c r="H36" s="31">
        <f>'All Experimental Diel Data'!J39</f>
        <v>9.4031468963436726</v>
      </c>
      <c r="I36">
        <f t="shared" si="72"/>
        <v>2.7006269929956444E-4</v>
      </c>
      <c r="J36">
        <f t="shared" si="52"/>
        <v>5042.8775800163521</v>
      </c>
      <c r="K36">
        <f t="shared" si="56"/>
        <v>7880.5494330775282</v>
      </c>
      <c r="L36">
        <f t="shared" si="57"/>
        <v>12923.42701309388</v>
      </c>
      <c r="M36">
        <f t="shared" si="58"/>
        <v>-2837.6718530611761</v>
      </c>
      <c r="N36">
        <f t="shared" si="73"/>
        <v>5.0428775800163521E-3</v>
      </c>
      <c r="O36">
        <f t="shared" si="59"/>
        <v>1.292342701309388E-2</v>
      </c>
      <c r="P36">
        <f t="shared" si="60"/>
        <v>-2.8376718530611759E-3</v>
      </c>
      <c r="Q36">
        <f t="shared" si="53"/>
        <v>2.2944076597372798E-2</v>
      </c>
      <c r="R36">
        <f t="shared" si="61"/>
        <v>5.8798988193566507E-2</v>
      </c>
      <c r="S36">
        <f t="shared" si="62"/>
        <v>-1.2910834998820913E-2</v>
      </c>
      <c r="T36">
        <f t="shared" si="54"/>
        <v>0.51518334943909216</v>
      </c>
      <c r="U36" s="17">
        <f t="shared" si="63"/>
        <v>0.32440923272637723</v>
      </c>
      <c r="V36">
        <f t="shared" si="64"/>
        <v>1.3202649299322782</v>
      </c>
      <c r="W36" s="17">
        <f t="shared" si="74"/>
        <v>7.693757755936284</v>
      </c>
      <c r="X36">
        <f t="shared" si="65"/>
        <v>-0.28989823105409418</v>
      </c>
      <c r="Y36" s="17">
        <f t="shared" si="75"/>
        <v>-7.0449392904835291</v>
      </c>
      <c r="Z36">
        <f t="shared" si="55"/>
        <v>15373.870624100766</v>
      </c>
      <c r="AA36" s="17">
        <f t="shared" si="66"/>
        <v>9680.8749324472556</v>
      </c>
      <c r="AB36">
        <f t="shared" si="67"/>
        <v>39398.754335549427</v>
      </c>
      <c r="AC36" s="17">
        <f t="shared" si="76"/>
        <v>229593.67083916272</v>
      </c>
      <c r="AD36">
        <f t="shared" si="68"/>
        <v>-8651.0130873479047</v>
      </c>
      <c r="AE36" s="17">
        <f t="shared" si="77"/>
        <v>-210231.9209742682</v>
      </c>
      <c r="AF36" s="17">
        <f t="shared" si="69"/>
        <v>7.369348523209907</v>
      </c>
      <c r="AG36" s="17">
        <f t="shared" si="70"/>
        <v>219912.79590671547</v>
      </c>
    </row>
    <row r="37" spans="1:33" x14ac:dyDescent="0.2">
      <c r="A37" s="20">
        <f>42324.0833338542-365</f>
        <v>41959.0833338542</v>
      </c>
      <c r="B37" s="18">
        <f>('Single Box Model Fluxes'!P56-'Single Box Model Fluxes'!P55)/('Single Box Model Fluxes'!A56-'Single Box Model Fluxes'!A55)*(1/24)-('Single Box Model Fluxes'!C79+'Single Box Model Fluxes'!D79+('Single Box Model Fluxes'!AB79*-1.45))</f>
        <v>37.11983742075904</v>
      </c>
      <c r="C37" s="18">
        <v>8.0867677213140894</v>
      </c>
      <c r="E37" s="20">
        <v>42300.583333333336</v>
      </c>
      <c r="F37" s="17">
        <f>'All Experimental Diel Data'!O40</f>
        <v>226.57</v>
      </c>
      <c r="G37">
        <f t="shared" si="71"/>
        <v>0.21734379484041047</v>
      </c>
      <c r="H37" s="31">
        <f>'All Experimental Diel Data'!J40</f>
        <v>8.9313633874982603</v>
      </c>
      <c r="I37">
        <f t="shared" si="72"/>
        <v>2.565128601565266E-4</v>
      </c>
      <c r="J37">
        <f t="shared" si="52"/>
        <v>2969.3672655381702</v>
      </c>
      <c r="K37">
        <f t="shared" si="56"/>
        <v>7888.3822336373005</v>
      </c>
      <c r="L37">
        <f t="shared" si="57"/>
        <v>10857.74949917547</v>
      </c>
      <c r="M37">
        <f t="shared" si="58"/>
        <v>-4919.0149680991308</v>
      </c>
      <c r="N37">
        <f t="shared" si="73"/>
        <v>2.9693672655381701E-3</v>
      </c>
      <c r="O37">
        <f t="shared" si="59"/>
        <v>1.085774949917547E-2</v>
      </c>
      <c r="P37">
        <f t="shared" si="60"/>
        <v>-4.9190149680991306E-3</v>
      </c>
      <c r="Q37">
        <f t="shared" si="53"/>
        <v>1.3662075182401661E-2</v>
      </c>
      <c r="R37">
        <f t="shared" si="61"/>
        <v>4.9956565390551017E-2</v>
      </c>
      <c r="S37">
        <f t="shared" si="62"/>
        <v>-2.2632415025747695E-2</v>
      </c>
      <c r="T37">
        <f t="shared" si="54"/>
        <v>0.30676648166195192</v>
      </c>
      <c r="U37" s="17">
        <f t="shared" si="63"/>
        <v>0.93794219601456874</v>
      </c>
      <c r="V37">
        <f t="shared" si="64"/>
        <v>1.1217183038573049</v>
      </c>
      <c r="W37" s="17">
        <f t="shared" si="74"/>
        <v>9.9371943635203088</v>
      </c>
      <c r="X37">
        <f t="shared" si="65"/>
        <v>-0.50818534053340103</v>
      </c>
      <c r="Y37" s="17">
        <f t="shared" si="75"/>
        <v>-8.0613099714911698</v>
      </c>
      <c r="Z37">
        <f t="shared" si="55"/>
        <v>9154.3878621391723</v>
      </c>
      <c r="AA37" s="17">
        <f t="shared" si="66"/>
        <v>27989.650655659891</v>
      </c>
      <c r="AB37">
        <f t="shared" si="67"/>
        <v>33473.814902915015</v>
      </c>
      <c r="AC37" s="17">
        <f t="shared" si="76"/>
        <v>296541.30064109585</v>
      </c>
      <c r="AD37">
        <f t="shared" si="68"/>
        <v>-15165.039178636669</v>
      </c>
      <c r="AE37" s="17">
        <f t="shared" si="77"/>
        <v>-240561.9993297761</v>
      </c>
      <c r="AF37" s="17">
        <f t="shared" si="69"/>
        <v>8.9992521675057393</v>
      </c>
      <c r="AG37" s="17">
        <f t="shared" si="70"/>
        <v>268551.64998543594</v>
      </c>
    </row>
    <row r="38" spans="1:33" x14ac:dyDescent="0.2">
      <c r="A38" s="20">
        <f>42324.1666672454-365</f>
        <v>41959.166667245401</v>
      </c>
      <c r="B38" s="18">
        <f>('Single Box Model Fluxes'!P57-'Single Box Model Fluxes'!P56)/('Single Box Model Fluxes'!A57-'Single Box Model Fluxes'!A56)*(1/24)-('Single Box Model Fluxes'!C80+'Single Box Model Fluxes'!D80+('Single Box Model Fluxes'!AB80*-1.45))</f>
        <v>27.478136142393879</v>
      </c>
      <c r="C38" s="18">
        <v>8.0998232049068193</v>
      </c>
      <c r="E38" s="20">
        <v>42300.666666666664</v>
      </c>
      <c r="F38" s="17">
        <f>'All Experimental Diel Data'!O41</f>
        <v>221.94</v>
      </c>
      <c r="G38">
        <f t="shared" si="71"/>
        <v>0.2129023340551737</v>
      </c>
      <c r="H38" s="31">
        <f>'All Experimental Diel Data'!J41</f>
        <v>9.2353411569319306</v>
      </c>
      <c r="I38">
        <f t="shared" si="72"/>
        <v>2.6524324136244383E-4</v>
      </c>
      <c r="J38">
        <f t="shared" si="52"/>
        <v>995.08504813351419</v>
      </c>
      <c r="K38">
        <f t="shared" si="56"/>
        <v>9193.6756067096612</v>
      </c>
      <c r="L38">
        <f t="shared" si="57"/>
        <v>10188.760654843176</v>
      </c>
      <c r="M38">
        <f t="shared" si="58"/>
        <v>-8198.5905585761466</v>
      </c>
      <c r="N38">
        <f t="shared" si="73"/>
        <v>9.9508504813351425E-4</v>
      </c>
      <c r="O38">
        <f t="shared" si="59"/>
        <v>1.0188760654843176E-2</v>
      </c>
      <c r="P38">
        <f t="shared" si="60"/>
        <v>-8.1985905585761458E-3</v>
      </c>
      <c r="Q38">
        <f t="shared" si="53"/>
        <v>4.6739038937714875E-3</v>
      </c>
      <c r="R38">
        <f t="shared" si="61"/>
        <v>4.7856500493802738E-2</v>
      </c>
      <c r="S38">
        <f t="shared" si="62"/>
        <v>-3.8508692706259756E-2</v>
      </c>
      <c r="T38">
        <f t="shared" si="54"/>
        <v>0.10494723780800692</v>
      </c>
      <c r="U38" s="17">
        <f t="shared" si="63"/>
        <v>1.1215998621907983</v>
      </c>
      <c r="V38">
        <f t="shared" si="64"/>
        <v>1.0745637163560533</v>
      </c>
      <c r="W38" s="17">
        <f t="shared" si="74"/>
        <v>11.817680867268498</v>
      </c>
      <c r="X38">
        <f t="shared" si="65"/>
        <v>-0.86466924074003915</v>
      </c>
      <c r="Y38" s="17">
        <f t="shared" si="75"/>
        <v>-9.5744811428868992</v>
      </c>
      <c r="Z38">
        <f t="shared" si="55"/>
        <v>3131.7884364346783</v>
      </c>
      <c r="AA38" s="17">
        <f t="shared" si="66"/>
        <v>33470.280419785166</v>
      </c>
      <c r="AB38">
        <f t="shared" si="67"/>
        <v>32066.64883598686</v>
      </c>
      <c r="AC38" s="17">
        <f t="shared" si="76"/>
        <v>352657.93610780593</v>
      </c>
      <c r="AD38">
        <f t="shared" si="68"/>
        <v>-25803.071963117494</v>
      </c>
      <c r="AE38" s="17">
        <f t="shared" si="77"/>
        <v>-285717.37526823557</v>
      </c>
      <c r="AF38" s="17">
        <f t="shared" si="69"/>
        <v>10.6960810050777</v>
      </c>
      <c r="AG38" s="17">
        <f t="shared" si="70"/>
        <v>319187.65568802075</v>
      </c>
    </row>
    <row r="39" spans="1:33" x14ac:dyDescent="0.2">
      <c r="A39" s="20">
        <f>42324.2500006366-365</f>
        <v>41959.250000636603</v>
      </c>
      <c r="B39" s="18">
        <f>('Single Box Model Fluxes'!P58-'Single Box Model Fluxes'!P57)/('Single Box Model Fluxes'!A58-'Single Box Model Fluxes'!A57)*(1/24)-('Single Box Model Fluxes'!C81+'Single Box Model Fluxes'!D81+('Single Box Model Fluxes'!AB81*-1.45))</f>
        <v>26.237226175190713</v>
      </c>
      <c r="C39" s="18"/>
      <c r="E39" s="20">
        <v>42300.739583333336</v>
      </c>
      <c r="F39" s="17">
        <f>'All Experimental Diel Data'!O42</f>
        <v>211.03</v>
      </c>
      <c r="G39">
        <f t="shared" si="71"/>
        <v>0.20243660248564163</v>
      </c>
      <c r="H39" s="31">
        <f>'All Experimental Diel Data'!J42</f>
        <v>9.5926048545135885</v>
      </c>
      <c r="I39">
        <f t="shared" si="72"/>
        <v>2.7550401890790181E-4</v>
      </c>
      <c r="J39">
        <f t="shared" si="52"/>
        <v>-12413.190763370425</v>
      </c>
      <c r="K39">
        <f t="shared" si="56"/>
        <v>4036.0140280094256</v>
      </c>
      <c r="L39">
        <f t="shared" si="57"/>
        <v>-8377.1767353609994</v>
      </c>
      <c r="M39">
        <f t="shared" si="58"/>
        <v>-16449.204791379852</v>
      </c>
      <c r="N39">
        <f t="shared" si="73"/>
        <v>-1.2413190763370425E-2</v>
      </c>
      <c r="O39">
        <f t="shared" si="59"/>
        <v>-8.3771767353609996E-3</v>
      </c>
      <c r="P39">
        <f t="shared" si="60"/>
        <v>-1.6449204791379853E-2</v>
      </c>
      <c r="Q39">
        <f t="shared" si="53"/>
        <v>-6.1318904837137173E-2</v>
      </c>
      <c r="R39">
        <f t="shared" si="61"/>
        <v>-4.1381729551379788E-2</v>
      </c>
      <c r="S39">
        <f t="shared" si="62"/>
        <v>-8.1256080122894564E-2</v>
      </c>
      <c r="T39">
        <f t="shared" si="54"/>
        <v>-1.3768468146393187</v>
      </c>
      <c r="U39" s="17">
        <f t="shared" si="63"/>
        <v>-4.7299990998660197</v>
      </c>
      <c r="V39">
        <f t="shared" si="64"/>
        <v>-0.92918004110497265</v>
      </c>
      <c r="W39" s="17">
        <f t="shared" si="74"/>
        <v>7.8686656926805352</v>
      </c>
      <c r="X39">
        <f t="shared" si="65"/>
        <v>-1.8245135881736647</v>
      </c>
      <c r="Y39" s="17">
        <f t="shared" si="75"/>
        <v>-17.328663892412571</v>
      </c>
      <c r="Z39">
        <f t="shared" si="55"/>
        <v>-41087.245580658404</v>
      </c>
      <c r="AA39" s="17">
        <f t="shared" si="66"/>
        <v>-141150.51329322986</v>
      </c>
      <c r="AB39">
        <f t="shared" si="67"/>
        <v>-27728.174355785046</v>
      </c>
      <c r="AC39" s="17">
        <f t="shared" si="76"/>
        <v>234813.19509894747</v>
      </c>
      <c r="AD39">
        <f t="shared" si="68"/>
        <v>-54446.316805531766</v>
      </c>
      <c r="AE39" s="17">
        <f t="shared" si="77"/>
        <v>-517114.22168540722</v>
      </c>
      <c r="AF39" s="17">
        <f t="shared" si="69"/>
        <v>12.598664792546554</v>
      </c>
      <c r="AG39" s="17">
        <f t="shared" si="70"/>
        <v>375963.70839217736</v>
      </c>
    </row>
    <row r="40" spans="1:33" x14ac:dyDescent="0.2">
      <c r="E40" s="20">
        <v>42300.916666666664</v>
      </c>
      <c r="F40" s="17">
        <f>'All Experimental Diel Data'!O43</f>
        <v>185.6</v>
      </c>
      <c r="G40">
        <f t="shared" si="71"/>
        <v>0.17804214292439505</v>
      </c>
      <c r="H40" s="31">
        <f>'All Experimental Diel Data'!J43</f>
        <v>11.784333322789001</v>
      </c>
      <c r="I40">
        <f t="shared" si="72"/>
        <v>3.384514675438807E-4</v>
      </c>
      <c r="J40">
        <f t="shared" si="52"/>
        <v>-17495.098572019255</v>
      </c>
      <c r="K40">
        <f t="shared" si="56"/>
        <v>7501.981363711926</v>
      </c>
      <c r="L40">
        <f t="shared" si="57"/>
        <v>-9993.1172083073288</v>
      </c>
      <c r="M40">
        <f t="shared" si="58"/>
        <v>-24997.079935731181</v>
      </c>
      <c r="N40">
        <f t="shared" si="73"/>
        <v>-1.7495098572019255E-2</v>
      </c>
      <c r="O40">
        <f t="shared" si="59"/>
        <v>-9.993117208307329E-3</v>
      </c>
      <c r="P40">
        <f t="shared" si="60"/>
        <v>-2.4997079935731182E-2</v>
      </c>
      <c r="Q40">
        <f t="shared" si="53"/>
        <v>-9.8263805886949399E-2</v>
      </c>
      <c r="R40">
        <f t="shared" si="61"/>
        <v>-5.612781920149585E-2</v>
      </c>
      <c r="S40">
        <f t="shared" si="62"/>
        <v>-0.14039979257240293</v>
      </c>
      <c r="T40">
        <f t="shared" si="54"/>
        <v>-2.2064028783476095</v>
      </c>
      <c r="U40" s="17">
        <f t="shared" si="63"/>
        <v>-9.2898983820070242</v>
      </c>
      <c r="V40">
        <f t="shared" si="64"/>
        <v>-1.2602868444158457</v>
      </c>
      <c r="W40" s="17">
        <f t="shared" si="74"/>
        <v>5.264072880760633</v>
      </c>
      <c r="X40">
        <f t="shared" si="65"/>
        <v>-3.1525189122793726</v>
      </c>
      <c r="Y40" s="17">
        <f t="shared" si="75"/>
        <v>-23.843869644774678</v>
      </c>
      <c r="Z40">
        <f t="shared" si="55"/>
        <v>-65842.485851476478</v>
      </c>
      <c r="AA40" s="17">
        <f t="shared" si="66"/>
        <v>-277224.98405959096</v>
      </c>
      <c r="AB40">
        <f t="shared" si="67"/>
        <v>-37608.915187962804</v>
      </c>
      <c r="AC40" s="17">
        <f t="shared" si="76"/>
        <v>157088.10370669654</v>
      </c>
      <c r="AD40">
        <f t="shared" si="68"/>
        <v>-94076.056514990138</v>
      </c>
      <c r="AE40" s="17">
        <f t="shared" si="77"/>
        <v>-711538.07182587846</v>
      </c>
      <c r="AF40" s="17">
        <f t="shared" si="69"/>
        <v>14.553971262767657</v>
      </c>
      <c r="AG40" s="17">
        <f t="shared" si="70"/>
        <v>434313.0877662875</v>
      </c>
    </row>
    <row r="41" spans="1:33" x14ac:dyDescent="0.2">
      <c r="A41" s="10" t="s">
        <v>85</v>
      </c>
      <c r="E41" s="20">
        <v>42301.00277777778</v>
      </c>
      <c r="F41" s="17">
        <f>'All Experimental Diel Data'!O44</f>
        <v>183.13</v>
      </c>
      <c r="G41">
        <f t="shared" si="71"/>
        <v>0.17567272431974387</v>
      </c>
      <c r="H41" s="31">
        <f>'All Experimental Diel Data'!J44</f>
        <v>11.571991728154826</v>
      </c>
      <c r="I41">
        <f t="shared" si="72"/>
        <v>3.3235291938201188E-4</v>
      </c>
      <c r="J41">
        <f t="shared" si="52"/>
        <v>-26906.788895464539</v>
      </c>
      <c r="K41">
        <f t="shared" si="56"/>
        <v>7847.4567374758435</v>
      </c>
      <c r="L41">
        <f t="shared" si="57"/>
        <v>-19059.332157988694</v>
      </c>
      <c r="M41">
        <f t="shared" si="58"/>
        <v>-34754.245632940379</v>
      </c>
      <c r="N41">
        <f t="shared" si="73"/>
        <v>-2.690678889546454E-2</v>
      </c>
      <c r="O41">
        <f t="shared" si="59"/>
        <v>-1.9059332157988693E-2</v>
      </c>
      <c r="P41">
        <f t="shared" si="60"/>
        <v>-3.4754245632940377E-2</v>
      </c>
      <c r="Q41">
        <f t="shared" si="53"/>
        <v>-0.15316429456909425</v>
      </c>
      <c r="R41">
        <f t="shared" si="61"/>
        <v>-0.10849340574521171</v>
      </c>
      <c r="S41">
        <f t="shared" si="62"/>
        <v>-0.19783518339297676</v>
      </c>
      <c r="T41">
        <f t="shared" si="54"/>
        <v>-3.4391314008957332</v>
      </c>
      <c r="U41" s="17">
        <f t="shared" si="63"/>
        <v>-16.168161183398123</v>
      </c>
      <c r="V41">
        <f t="shared" si="64"/>
        <v>-2.4360969998798172</v>
      </c>
      <c r="W41" s="17">
        <f t="shared" si="74"/>
        <v>0.39187888128459747</v>
      </c>
      <c r="X41">
        <f t="shared" si="65"/>
        <v>-4.4421658019116483</v>
      </c>
      <c r="Y41" s="17">
        <f t="shared" si="75"/>
        <v>-32.728201248080836</v>
      </c>
      <c r="Z41">
        <f t="shared" si="55"/>
        <v>-102629.01794908327</v>
      </c>
      <c r="AA41" s="17">
        <f t="shared" si="66"/>
        <v>-482483.01994580991</v>
      </c>
      <c r="AB41">
        <f t="shared" si="67"/>
        <v>-72696.914884164245</v>
      </c>
      <c r="AC41" s="17">
        <f t="shared" si="76"/>
        <v>11694.27394683109</v>
      </c>
      <c r="AD41">
        <f t="shared" si="68"/>
        <v>-132561.12101400227</v>
      </c>
      <c r="AE41" s="17">
        <f t="shared" si="77"/>
        <v>-976660.31383845094</v>
      </c>
      <c r="AF41" s="17">
        <f t="shared" si="69"/>
        <v>16.56004006468272</v>
      </c>
      <c r="AG41" s="17">
        <f t="shared" si="70"/>
        <v>494177.29389264097</v>
      </c>
    </row>
    <row r="42" spans="1:33" x14ac:dyDescent="0.2">
      <c r="A42" t="s">
        <v>99</v>
      </c>
      <c r="B42" s="18" t="s">
        <v>362</v>
      </c>
      <c r="C42" s="18" t="s">
        <v>363</v>
      </c>
      <c r="E42" s="20">
        <v>42301.086111111108</v>
      </c>
      <c r="F42" s="17">
        <f>'All Experimental Diel Data'!O45</f>
        <v>179.91</v>
      </c>
      <c r="G42">
        <f t="shared" si="71"/>
        <v>0.1725838466246116</v>
      </c>
      <c r="H42" s="31">
        <f>'All Experimental Diel Data'!J45</f>
        <v>12.542299624690012</v>
      </c>
      <c r="I42">
        <f t="shared" si="72"/>
        <v>3.602206079950514E-4</v>
      </c>
      <c r="J42">
        <f t="shared" si="52"/>
        <v>-23124.20692997241</v>
      </c>
      <c r="K42">
        <f t="shared" si="56"/>
        <v>8186.5734301703724</v>
      </c>
      <c r="L42">
        <f t="shared" si="57"/>
        <v>-14937.633499802037</v>
      </c>
      <c r="M42">
        <f t="shared" si="58"/>
        <v>-31310.78036014278</v>
      </c>
      <c r="N42">
        <f t="shared" si="73"/>
        <v>-2.3124206929972409E-2</v>
      </c>
      <c r="O42">
        <f t="shared" si="59"/>
        <v>-1.4937633499802037E-2</v>
      </c>
      <c r="P42">
        <f t="shared" si="60"/>
        <v>-3.131078036014278E-2</v>
      </c>
      <c r="Q42">
        <f t="shared" si="53"/>
        <v>-0.13398824619009705</v>
      </c>
      <c r="R42">
        <f t="shared" si="61"/>
        <v>-8.6552906265283294E-2</v>
      </c>
      <c r="S42">
        <f t="shared" si="62"/>
        <v>-0.1814235861149108</v>
      </c>
      <c r="T42">
        <f t="shared" si="54"/>
        <v>-3.008554873181863</v>
      </c>
      <c r="U42" s="17">
        <f t="shared" si="63"/>
        <v>-21.984700604929756</v>
      </c>
      <c r="V42">
        <f t="shared" si="64"/>
        <v>-1.9434478421564481</v>
      </c>
      <c r="W42" s="17">
        <f t="shared" si="74"/>
        <v>-3.3654536135813684</v>
      </c>
      <c r="X42">
        <f t="shared" si="65"/>
        <v>-4.0736619042072775</v>
      </c>
      <c r="Y42" s="17">
        <f t="shared" si="75"/>
        <v>-40.60394759627814</v>
      </c>
      <c r="Z42">
        <f t="shared" si="55"/>
        <v>-89779.946180644474</v>
      </c>
      <c r="AA42" s="17">
        <f t="shared" si="66"/>
        <v>-656057.5825631161</v>
      </c>
      <c r="AB42">
        <f t="shared" si="67"/>
        <v>-57995.499510089307</v>
      </c>
      <c r="AC42" s="17">
        <f t="shared" si="76"/>
        <v>-100430.35844024178</v>
      </c>
      <c r="AD42">
        <f t="shared" si="68"/>
        <v>-121564.39285119962</v>
      </c>
      <c r="AE42" s="17">
        <f t="shared" si="77"/>
        <v>-1211684.8066859904</v>
      </c>
      <c r="AF42" s="17">
        <f t="shared" si="69"/>
        <v>18.619246991348387</v>
      </c>
      <c r="AG42" s="17">
        <f t="shared" si="70"/>
        <v>555627.22412287432</v>
      </c>
    </row>
    <row r="43" spans="1:33" x14ac:dyDescent="0.2">
      <c r="A43" s="20">
        <v>42300.25</v>
      </c>
      <c r="B43">
        <f>('Single Box Model Fluxes'!P94-'Single Box Model Fluxes'!P93)/('Single Box Model Fluxes'!A94-'Single Box Model Fluxes'!A93)*(1/24)-('Single Box Model Fluxes'!C118+'Single Box Model Fluxes'!D118+('Single Box Model Fluxes'!AB118*-1.45))</f>
        <v>4.2793976233414579</v>
      </c>
      <c r="C43">
        <v>8.9768436253763699</v>
      </c>
      <c r="E43" s="20">
        <v>42301.166666666664</v>
      </c>
      <c r="F43" s="17">
        <f>'All Experimental Diel Data'!O46</f>
        <v>180.34</v>
      </c>
      <c r="G43">
        <f t="shared" si="71"/>
        <v>0.1729963365031541</v>
      </c>
      <c r="H43" s="31">
        <f>'All Experimental Diel Data'!J46</f>
        <v>12.51638159071992</v>
      </c>
      <c r="I43">
        <f t="shared" si="72"/>
        <v>3.5947623015094665E-4</v>
      </c>
      <c r="J43">
        <f t="shared" si="52"/>
        <v>-25140.612967982957</v>
      </c>
      <c r="K43">
        <f t="shared" si="56"/>
        <v>7876.3214537800586</v>
      </c>
      <c r="L43">
        <f t="shared" si="57"/>
        <v>-17264.291514202898</v>
      </c>
      <c r="M43">
        <f t="shared" si="58"/>
        <v>-33016.934421763013</v>
      </c>
      <c r="N43">
        <f t="shared" si="73"/>
        <v>-2.5140612967982957E-2</v>
      </c>
      <c r="O43">
        <f t="shared" si="59"/>
        <v>-1.7264291514202897E-2</v>
      </c>
      <c r="P43">
        <f t="shared" si="60"/>
        <v>-3.3016934421763011E-2</v>
      </c>
      <c r="Q43">
        <f t="shared" si="53"/>
        <v>-0.14532453967616007</v>
      </c>
      <c r="R43">
        <f t="shared" si="61"/>
        <v>-9.9795705869691234E-2</v>
      </c>
      <c r="S43">
        <f t="shared" si="62"/>
        <v>-0.19085337348262887</v>
      </c>
      <c r="T43">
        <f t="shared" si="54"/>
        <v>-3.2630985513111126</v>
      </c>
      <c r="U43" s="17">
        <f t="shared" si="63"/>
        <v>-28.510897707741918</v>
      </c>
      <c r="V43">
        <f t="shared" si="64"/>
        <v>-2.2407999638334983</v>
      </c>
      <c r="W43" s="17">
        <f t="shared" si="74"/>
        <v>-7.8470535413787967</v>
      </c>
      <c r="X43">
        <f t="shared" si="65"/>
        <v>-4.285397138788726</v>
      </c>
      <c r="Y43" s="17">
        <f t="shared" si="75"/>
        <v>-49.174741874105038</v>
      </c>
      <c r="Z43">
        <f t="shared" si="55"/>
        <v>-97375.924544468682</v>
      </c>
      <c r="AA43" s="17">
        <f t="shared" si="66"/>
        <v>-850809.43165772152</v>
      </c>
      <c r="AB43">
        <f t="shared" si="67"/>
        <v>-66868.948260795296</v>
      </c>
      <c r="AC43" s="17">
        <f t="shared" si="76"/>
        <v>-234168.25496572466</v>
      </c>
      <c r="AD43">
        <f t="shared" si="68"/>
        <v>-127882.90082814204</v>
      </c>
      <c r="AE43" s="17">
        <f t="shared" si="77"/>
        <v>-1467450.6083497182</v>
      </c>
      <c r="AF43" s="17">
        <f t="shared" si="69"/>
        <v>20.66384416636312</v>
      </c>
      <c r="AG43" s="17">
        <f t="shared" si="70"/>
        <v>616641.17669199686</v>
      </c>
    </row>
    <row r="44" spans="1:33" x14ac:dyDescent="0.2">
      <c r="A44" s="20">
        <v>42300.333333333336</v>
      </c>
      <c r="B44">
        <f>('Single Box Model Fluxes'!P95-'Single Box Model Fluxes'!P94)/('Single Box Model Fluxes'!A95-'Single Box Model Fluxes'!A94)*(1/24)-('Single Box Model Fluxes'!C119+'Single Box Model Fluxes'!D119+('Single Box Model Fluxes'!AB119*-1.45))</f>
        <v>-1.9336862866811337</v>
      </c>
      <c r="C44">
        <v>7.56558740474369</v>
      </c>
      <c r="E44" s="20">
        <v>42301.25</v>
      </c>
      <c r="F44" s="17">
        <f>'All Experimental Diel Data'!O47</f>
        <v>179.62</v>
      </c>
      <c r="G44">
        <f t="shared" si="71"/>
        <v>0.17230565577629223</v>
      </c>
      <c r="H44" s="31">
        <f>'All Experimental Diel Data'!J47</f>
        <v>12.612188097905261</v>
      </c>
      <c r="I44">
        <f t="shared" si="72"/>
        <v>3.6222783705724699E-4</v>
      </c>
      <c r="U44" s="17"/>
      <c r="V44" s="17"/>
      <c r="W44" s="17"/>
      <c r="X44" s="17"/>
      <c r="Y44" s="17"/>
      <c r="AA44" s="17"/>
      <c r="AB44" s="17"/>
      <c r="AC44" s="17"/>
      <c r="AD44" s="17"/>
      <c r="AE44" s="17"/>
      <c r="AF44" s="17"/>
      <c r="AG44" s="17"/>
    </row>
    <row r="45" spans="1:33" x14ac:dyDescent="0.2">
      <c r="A45" s="20">
        <v>42300.416666666664</v>
      </c>
      <c r="B45">
        <f>('Single Box Model Fluxes'!P96-'Single Box Model Fluxes'!P95)/('Single Box Model Fluxes'!A96-'Single Box Model Fluxes'!A95)*(1/24)-('Single Box Model Fluxes'!C120+'Single Box Model Fluxes'!D120+('Single Box Model Fluxes'!AB120*-1.45))</f>
        <v>0.33329713643380332</v>
      </c>
      <c r="C45">
        <v>7.6281135332455898</v>
      </c>
      <c r="E45" s="20"/>
      <c r="F45" s="17"/>
      <c r="H45" s="31"/>
      <c r="U45" s="17"/>
      <c r="V45" s="17"/>
      <c r="W45" s="17"/>
      <c r="X45" s="17"/>
      <c r="Y45" s="17"/>
      <c r="AA45" s="17"/>
      <c r="AB45" s="17"/>
      <c r="AC45" s="17"/>
      <c r="AD45" s="17"/>
      <c r="AE45" s="17"/>
      <c r="AF45" s="17"/>
      <c r="AG45" s="17"/>
    </row>
    <row r="46" spans="1:33" x14ac:dyDescent="0.2">
      <c r="A46" s="20">
        <v>42300.5</v>
      </c>
      <c r="B46">
        <f>('Single Box Model Fluxes'!P97-'Single Box Model Fluxes'!P96)/('Single Box Model Fluxes'!A97-'Single Box Model Fluxes'!A96)*(1/24)-('Single Box Model Fluxes'!C121+'Single Box Model Fluxes'!D121+('Single Box Model Fluxes'!AB121*-1.45))</f>
        <v>-4.9198805658696116</v>
      </c>
      <c r="C46">
        <v>7.6883409103195399</v>
      </c>
    </row>
    <row r="47" spans="1:33" x14ac:dyDescent="0.2">
      <c r="A47" s="20">
        <v>42300.583333333336</v>
      </c>
      <c r="B47">
        <f>('Single Box Model Fluxes'!P98-'Single Box Model Fluxes'!P97)/('Single Box Model Fluxes'!A98-'Single Box Model Fluxes'!A97)*(1/24)-('Single Box Model Fluxes'!C122+'Single Box Model Fluxes'!D122+('Single Box Model Fluxes'!AB122*-1.45))</f>
        <v>-2.8969436736957759</v>
      </c>
      <c r="C47">
        <v>7.6959826669632196</v>
      </c>
      <c r="E47" s="10" t="s">
        <v>86</v>
      </c>
    </row>
    <row r="48" spans="1:33" x14ac:dyDescent="0.2">
      <c r="A48" s="20">
        <v>42300.666666666664</v>
      </c>
      <c r="B48">
        <f>('Single Box Model Fluxes'!P99-'Single Box Model Fluxes'!P98)/('Single Box Model Fluxes'!A99-'Single Box Model Fluxes'!A98)*(1/24)-('Single Box Model Fluxes'!C123+'Single Box Model Fluxes'!D123+('Single Box Model Fluxes'!AB123*-1.45))</f>
        <v>-0.97081468110586755</v>
      </c>
      <c r="C48">
        <v>8.9694396163021093</v>
      </c>
      <c r="E48" t="s">
        <v>99</v>
      </c>
      <c r="F48" s="2" t="s">
        <v>83</v>
      </c>
      <c r="G48" t="s">
        <v>270</v>
      </c>
      <c r="H48" s="2" t="s">
        <v>76</v>
      </c>
      <c r="I48" t="s">
        <v>275</v>
      </c>
      <c r="J48" t="s">
        <v>271</v>
      </c>
      <c r="K48" t="s">
        <v>364</v>
      </c>
      <c r="L48" t="s">
        <v>411</v>
      </c>
      <c r="M48" t="s">
        <v>412</v>
      </c>
      <c r="N48" t="s">
        <v>272</v>
      </c>
      <c r="O48" t="s">
        <v>413</v>
      </c>
      <c r="P48" t="s">
        <v>414</v>
      </c>
      <c r="Q48" t="s">
        <v>273</v>
      </c>
      <c r="R48" t="s">
        <v>415</v>
      </c>
      <c r="S48" t="s">
        <v>416</v>
      </c>
      <c r="T48" t="s">
        <v>276</v>
      </c>
      <c r="U48" t="s">
        <v>283</v>
      </c>
      <c r="V48" t="s">
        <v>417</v>
      </c>
      <c r="W48" t="s">
        <v>418</v>
      </c>
      <c r="X48" t="s">
        <v>419</v>
      </c>
      <c r="Y48" t="s">
        <v>420</v>
      </c>
      <c r="Z48" t="s">
        <v>281</v>
      </c>
      <c r="AA48" t="s">
        <v>282</v>
      </c>
      <c r="AB48" t="s">
        <v>421</v>
      </c>
      <c r="AC48" t="s">
        <v>422</v>
      </c>
      <c r="AD48" t="s">
        <v>423</v>
      </c>
      <c r="AE48" t="s">
        <v>424</v>
      </c>
      <c r="AF48" t="s">
        <v>425</v>
      </c>
      <c r="AG48" t="s">
        <v>426</v>
      </c>
    </row>
    <row r="49" spans="1:33" x14ac:dyDescent="0.2">
      <c r="A49" s="20">
        <v>42300.739583333336</v>
      </c>
      <c r="B49">
        <f>('Single Box Model Fluxes'!P100-'Single Box Model Fluxes'!P99)/('Single Box Model Fluxes'!A100-'Single Box Model Fluxes'!A99)*(1/24)-('Single Box Model Fluxes'!C124+'Single Box Model Fluxes'!D124+('Single Box Model Fluxes'!AB124*-1.45))</f>
        <v>12.110430013044317</v>
      </c>
      <c r="C49">
        <v>3.9375746614726101</v>
      </c>
      <c r="E49" s="20">
        <v>42817.5</v>
      </c>
      <c r="F49" s="17">
        <f>'All Experimental Diel Data'!O53</f>
        <v>250.48</v>
      </c>
      <c r="G49">
        <f t="shared" ref="G49:G60" si="78">F49/($B$1*($B$4-$B$3))</f>
        <v>0.24028015064494865</v>
      </c>
      <c r="H49" s="31">
        <f>'All Experimental Diel Data'!J53</f>
        <v>8.4505994075155009</v>
      </c>
      <c r="I49">
        <f t="shared" ref="I49:I60" si="79">H49/($B$2*($B$4-$B$3))</f>
        <v>2.4270509775619324E-4</v>
      </c>
      <c r="J49">
        <f t="shared" ref="J49:J59" si="80">-1*B59*1025</f>
        <v>-481.068656856742</v>
      </c>
      <c r="K49">
        <f>C59*1025</f>
        <v>9086.7756318519369</v>
      </c>
      <c r="L49">
        <f>J49+K49</f>
        <v>8605.7069749951952</v>
      </c>
      <c r="M49">
        <f>J49-K49</f>
        <v>-9567.8442887086785</v>
      </c>
      <c r="N49">
        <f t="shared" ref="N49:N59" si="81">J49/1000000</f>
        <v>-4.8106865685674198E-4</v>
      </c>
      <c r="O49">
        <f>L49/1000000</f>
        <v>8.6057069749951951E-3</v>
      </c>
      <c r="P49">
        <f>M49/1000000</f>
        <v>-9.5678442887086792E-3</v>
      </c>
      <c r="Q49">
        <f t="shared" ref="Q49:Q59" si="82">N49/G49</f>
        <v>-2.00211567857553E-3</v>
      </c>
      <c r="R49">
        <f>O49/G49</f>
        <v>3.581530539204409E-2</v>
      </c>
      <c r="S49">
        <f>P49/G49</f>
        <v>-3.9819536749195146E-2</v>
      </c>
      <c r="T49">
        <f t="shared" ref="T49:T59" si="83">(Q49*$B$5*(273+28))/1.1</f>
        <v>-4.4955248335039506E-2</v>
      </c>
      <c r="U49" s="17">
        <f>(E50-E49)*(24)*(T49)</f>
        <v>-8.9910496672695753E-2</v>
      </c>
      <c r="V49">
        <f>(R49*$B$5*(273+28))/1.1</f>
        <v>0.80419226787143949</v>
      </c>
      <c r="W49" s="17">
        <f>(E50-E49)*(24)*(V49)</f>
        <v>1.6083845357896891</v>
      </c>
      <c r="X49">
        <f>(S49*$B$5*(273+28))/1.1</f>
        <v>-0.89410276454151827</v>
      </c>
      <c r="Y49" s="17">
        <f>(E50-E49)*(24)*(X49)</f>
        <v>-1.7882055291350802</v>
      </c>
      <c r="Z49">
        <f t="shared" ref="Z49:Z59" si="84">T49*(1/$B$9)</f>
        <v>-1341.5343732084818</v>
      </c>
      <c r="AA49" s="17">
        <f>(E50-E49)*(24)*(Z49)</f>
        <v>-2683.0687464950511</v>
      </c>
      <c r="AB49">
        <f>V49*(1/$B$9)</f>
        <v>23998.345242753978</v>
      </c>
      <c r="AC49" s="17">
        <f>(E50-E49)*(24)*(AB49)</f>
        <v>47996.690486904845</v>
      </c>
      <c r="AD49">
        <f>X49*(1/$B$9)</f>
        <v>-26681.413989170935</v>
      </c>
      <c r="AE49" s="17">
        <f>(E50-E49)*(24)*(AD49)</f>
        <v>-53362.82797989493</v>
      </c>
      <c r="AF49" s="17">
        <f>W49-U49</f>
        <v>1.6982950324623849</v>
      </c>
      <c r="AG49" s="17">
        <f>AC49-AA49</f>
        <v>50679.759233399898</v>
      </c>
    </row>
    <row r="50" spans="1:33" x14ac:dyDescent="0.2">
      <c r="A50" s="20">
        <v>42300.916666666664</v>
      </c>
      <c r="B50">
        <f>('Single Box Model Fluxes'!P101-'Single Box Model Fluxes'!P100)/('Single Box Model Fluxes'!A101-'Single Box Model Fluxes'!A100)*(1/24)-('Single Box Model Fluxes'!C125+'Single Box Model Fluxes'!D125+('Single Box Model Fluxes'!AB125*-1.45))</f>
        <v>17.068388850750491</v>
      </c>
      <c r="C50">
        <v>7.3190062084994398</v>
      </c>
      <c r="E50" s="20">
        <f t="shared" ref="E50:E60" si="85">E49+(1/24*2)</f>
        <v>42817.583333333336</v>
      </c>
      <c r="F50" s="17">
        <f>'All Experimental Diel Data'!O54</f>
        <v>264.07</v>
      </c>
      <c r="G50">
        <f t="shared" si="78"/>
        <v>0.25331674936446658</v>
      </c>
      <c r="H50" s="31">
        <f>'All Experimental Diel Data'!J54</f>
        <v>8.0951190332559726</v>
      </c>
      <c r="I50">
        <f t="shared" si="79"/>
        <v>2.3249553807592522E-4</v>
      </c>
      <c r="J50">
        <f t="shared" si="80"/>
        <v>13827.721364709478</v>
      </c>
      <c r="K50">
        <f t="shared" ref="K50:K59" si="86">C60*1025</f>
        <v>9028.4288138763732</v>
      </c>
      <c r="L50">
        <f t="shared" ref="L50:L59" si="87">J50+K50</f>
        <v>22856.150178585849</v>
      </c>
      <c r="M50">
        <f t="shared" ref="M50:M59" si="88">J50-K50</f>
        <v>4799.2925508331045</v>
      </c>
      <c r="N50">
        <f t="shared" si="81"/>
        <v>1.3827721364709477E-2</v>
      </c>
      <c r="O50">
        <f t="shared" ref="O50:O59" si="89">L50/1000000</f>
        <v>2.285615017858585E-2</v>
      </c>
      <c r="P50">
        <f t="shared" ref="P50:P59" si="90">M50/1000000</f>
        <v>4.799292550833105E-3</v>
      </c>
      <c r="Q50">
        <f t="shared" si="82"/>
        <v>5.4586684060178171E-2</v>
      </c>
      <c r="R50">
        <f t="shared" ref="R50:R59" si="91">O50/G50</f>
        <v>9.0227552011181558E-2</v>
      </c>
      <c r="S50">
        <f t="shared" ref="S50:S59" si="92">P50/G50</f>
        <v>1.8945816109174795E-2</v>
      </c>
      <c r="T50">
        <f t="shared" si="83"/>
        <v>1.2256823938652734</v>
      </c>
      <c r="U50" s="17">
        <f t="shared" ref="U50:U59" si="93">(E51-E50)*(24)*(T50)+U49</f>
        <v>2.3614542911291956</v>
      </c>
      <c r="V50">
        <f t="shared" ref="V50:V59" si="94">(R50*$B$5*(273+28))/1.1</f>
        <v>2.0259578658368409</v>
      </c>
      <c r="W50" s="17">
        <f>(E51-E50)*(24)*(V50)+W49</f>
        <v>5.660300267581297</v>
      </c>
      <c r="X50">
        <f t="shared" ref="X50:X59" si="95">(S50*$B$5*(273+28))/1.1</f>
        <v>0.42540692189370605</v>
      </c>
      <c r="Y50" s="17">
        <f>(E51-E50)*(24)*(X50)+Y49</f>
        <v>-0.93739168532290618</v>
      </c>
      <c r="Z50">
        <f t="shared" si="84"/>
        <v>36576.264683318564</v>
      </c>
      <c r="AA50" s="17">
        <f t="shared" ref="AA50:AA59" si="96">(E51-E50)*(24)*(Z50)+AA49</f>
        <v>70469.460622271101</v>
      </c>
      <c r="AB50">
        <f t="shared" ref="AB50:AB59" si="97">V50*(1/$B$9)</f>
        <v>60457.726658220032</v>
      </c>
      <c r="AC50" s="17">
        <f>(E51-E50)*(24)*(AB50)+AC49</f>
        <v>168912.14380686401</v>
      </c>
      <c r="AD50">
        <f t="shared" ref="AD50:AD59" si="98">X50*(1/$B$9)</f>
        <v>12694.802708417092</v>
      </c>
      <c r="AE50" s="17">
        <f>(E51-E50)*(24)*(AD50)+AE49</f>
        <v>-27973.222562321811</v>
      </c>
      <c r="AF50" s="17">
        <f t="shared" ref="AF50:AF59" si="99">W50-U50</f>
        <v>3.2988459764521014</v>
      </c>
      <c r="AG50" s="17">
        <f t="shared" ref="AG50:AG59" si="100">AC50-AA50</f>
        <v>98442.683184592912</v>
      </c>
    </row>
    <row r="51" spans="1:33" x14ac:dyDescent="0.2">
      <c r="A51" s="20">
        <v>42301.00277777778</v>
      </c>
      <c r="B51">
        <f>('Single Box Model Fluxes'!P102-'Single Box Model Fluxes'!P101)/('Single Box Model Fluxes'!A102-'Single Box Model Fluxes'!A101)*(1/24)-('Single Box Model Fluxes'!C126+'Single Box Model Fluxes'!D126+('Single Box Model Fluxes'!AB126*-1.45))</f>
        <v>26.250525751672722</v>
      </c>
      <c r="C51">
        <v>7.6560553536349696</v>
      </c>
      <c r="E51" s="20">
        <f t="shared" si="85"/>
        <v>42817.666666666672</v>
      </c>
      <c r="F51" s="17">
        <f>'All Experimental Diel Data'!O55</f>
        <v>275.24</v>
      </c>
      <c r="G51">
        <f t="shared" si="78"/>
        <v>0.26403189341869876</v>
      </c>
      <c r="H51" s="31">
        <f>'All Experimental Diel Data'!J55</f>
        <v>6.9819268999897925</v>
      </c>
      <c r="I51">
        <f t="shared" si="79"/>
        <v>2.0052414853336656E-4</v>
      </c>
      <c r="J51">
        <f t="shared" si="80"/>
        <v>-4701.2776460417026</v>
      </c>
      <c r="K51">
        <f t="shared" si="86"/>
        <v>9039.2920767843771</v>
      </c>
      <c r="L51">
        <f t="shared" si="87"/>
        <v>4338.0144307426744</v>
      </c>
      <c r="M51">
        <f t="shared" si="88"/>
        <v>-13740.56972282608</v>
      </c>
      <c r="N51">
        <f t="shared" si="81"/>
        <v>-4.701277646041703E-3</v>
      </c>
      <c r="O51">
        <f t="shared" si="89"/>
        <v>4.3380144307426744E-3</v>
      </c>
      <c r="P51">
        <f t="shared" si="90"/>
        <v>-1.374056972282608E-2</v>
      </c>
      <c r="Q51">
        <f t="shared" si="82"/>
        <v>-1.7805718790898001E-2</v>
      </c>
      <c r="R51">
        <f t="shared" si="91"/>
        <v>1.642988797517541E-2</v>
      </c>
      <c r="S51">
        <f t="shared" si="92"/>
        <v>-5.2041325556971413E-2</v>
      </c>
      <c r="T51">
        <f t="shared" si="83"/>
        <v>-0.39980732312041656</v>
      </c>
      <c r="U51" s="17">
        <f t="shared" si="93"/>
        <v>1.5618396448650906</v>
      </c>
      <c r="V51">
        <f t="shared" si="94"/>
        <v>0.36891459466837478</v>
      </c>
      <c r="W51" s="17">
        <f t="shared" ref="W51:W59" si="101">(E52-E51)*(24)*(V51)+W50</f>
        <v>6.39812945693952</v>
      </c>
      <c r="X51">
        <f t="shared" si="95"/>
        <v>-1.1685292409092078</v>
      </c>
      <c r="Y51" s="17">
        <f t="shared" ref="Y51:Y59" si="102">(E52-E51)*(24)*(X51)+Y50</f>
        <v>-3.2744501672093391</v>
      </c>
      <c r="Z51">
        <f t="shared" si="84"/>
        <v>-11930.870954803671</v>
      </c>
      <c r="AA51" s="17">
        <f t="shared" si="96"/>
        <v>46607.71871196929</v>
      </c>
      <c r="AB51">
        <f t="shared" si="97"/>
        <v>11008.983997540281</v>
      </c>
      <c r="AC51" s="17">
        <f t="shared" ref="AC51:AC59" si="103">(E52-E51)*(24)*(AB51)+AC50</f>
        <v>190930.11180258539</v>
      </c>
      <c r="AD51">
        <f t="shared" si="98"/>
        <v>-34870.725907147622</v>
      </c>
      <c r="AE51" s="17">
        <f t="shared" ref="AE51:AE59" si="104">(E52-E51)*(24)*(AD51)+AE50</f>
        <v>-97714.6743786468</v>
      </c>
      <c r="AF51" s="17">
        <f t="shared" si="99"/>
        <v>4.8362898120744298</v>
      </c>
      <c r="AG51" s="17">
        <f t="shared" si="100"/>
        <v>144322.3930906161</v>
      </c>
    </row>
    <row r="52" spans="1:33" x14ac:dyDescent="0.2">
      <c r="A52" s="20">
        <v>42301.086111111108</v>
      </c>
      <c r="B52">
        <f>('Single Box Model Fluxes'!P103-'Single Box Model Fluxes'!P102)/('Single Box Model Fluxes'!A103-'Single Box Model Fluxes'!A102)*(1/24)-('Single Box Model Fluxes'!C127+'Single Box Model Fluxes'!D127+('Single Box Model Fluxes'!AB127*-1.45))</f>
        <v>22.560201882899911</v>
      </c>
      <c r="C52">
        <v>7.9869009074832897</v>
      </c>
      <c r="E52" s="20">
        <f t="shared" si="85"/>
        <v>42817.750000000007</v>
      </c>
      <c r="F52" s="17">
        <f>'All Experimental Diel Data'!O56</f>
        <v>243.58</v>
      </c>
      <c r="G52">
        <f t="shared" si="78"/>
        <v>0.23366112701252234</v>
      </c>
      <c r="H52" s="31">
        <f>'All Experimental Diel Data'!J56</f>
        <v>7.4435338766004699</v>
      </c>
      <c r="I52">
        <f t="shared" si="79"/>
        <v>2.1378171299484108E-4</v>
      </c>
      <c r="J52">
        <f t="shared" si="80"/>
        <v>-27962.146686792927</v>
      </c>
      <c r="K52">
        <f t="shared" si="86"/>
        <v>9066.746498524406</v>
      </c>
      <c r="L52">
        <f t="shared" si="87"/>
        <v>-18895.400188268519</v>
      </c>
      <c r="M52">
        <f t="shared" si="88"/>
        <v>-37028.893185317334</v>
      </c>
      <c r="N52">
        <f t="shared" si="81"/>
        <v>-2.7962146686792928E-2</v>
      </c>
      <c r="O52">
        <f t="shared" si="89"/>
        <v>-1.8895400188268519E-2</v>
      </c>
      <c r="P52">
        <f t="shared" si="90"/>
        <v>-3.7028893185317331E-2</v>
      </c>
      <c r="Q52">
        <f t="shared" si="82"/>
        <v>-0.11966965598558628</v>
      </c>
      <c r="R52">
        <f t="shared" si="91"/>
        <v>-8.0866682575128884E-2</v>
      </c>
      <c r="S52">
        <f t="shared" si="92"/>
        <v>-0.15847262939604362</v>
      </c>
      <c r="T52">
        <f t="shared" si="83"/>
        <v>-2.687047087523132</v>
      </c>
      <c r="U52" s="17">
        <f t="shared" si="93"/>
        <v>-3.8122545303375799</v>
      </c>
      <c r="V52">
        <f t="shared" si="94"/>
        <v>-1.8157701056425672</v>
      </c>
      <c r="W52" s="17">
        <f t="shared" si="101"/>
        <v>2.7665892455486936</v>
      </c>
      <c r="X52">
        <f t="shared" si="95"/>
        <v>-3.5583240694036959</v>
      </c>
      <c r="Y52" s="17">
        <f t="shared" si="102"/>
        <v>-10.391098306223853</v>
      </c>
      <c r="Z52">
        <f t="shared" si="84"/>
        <v>-80185.654931247613</v>
      </c>
      <c r="AA52" s="17">
        <f t="shared" si="96"/>
        <v>-113763.59115519334</v>
      </c>
      <c r="AB52">
        <f t="shared" si="97"/>
        <v>-54185.397718407679</v>
      </c>
      <c r="AC52" s="17">
        <f t="shared" si="103"/>
        <v>82559.316362616024</v>
      </c>
      <c r="AD52">
        <f t="shared" si="98"/>
        <v>-106185.91214408752</v>
      </c>
      <c r="AE52" s="17">
        <f t="shared" si="104"/>
        <v>-310086.4986730027</v>
      </c>
      <c r="AF52" s="17">
        <f t="shared" si="99"/>
        <v>6.5788437758862734</v>
      </c>
      <c r="AG52" s="17">
        <f t="shared" si="100"/>
        <v>196322.90751780936</v>
      </c>
    </row>
    <row r="53" spans="1:33" x14ac:dyDescent="0.2">
      <c r="A53" s="20">
        <v>42301.166666666664</v>
      </c>
      <c r="B53">
        <f>('Single Box Model Fluxes'!P104-'Single Box Model Fluxes'!P103)/('Single Box Model Fluxes'!A104-'Single Box Model Fluxes'!A103)*(1/24)-('Single Box Model Fluxes'!C128+'Single Box Model Fluxes'!D128+('Single Box Model Fluxes'!AB128*-1.45))</f>
        <v>24.527427285837032</v>
      </c>
      <c r="C53">
        <v>7.6842160524683498</v>
      </c>
      <c r="E53" s="20">
        <f t="shared" si="85"/>
        <v>42817.833333333343</v>
      </c>
      <c r="F53" s="17">
        <f>'All Experimental Diel Data'!O57</f>
        <v>195.94</v>
      </c>
      <c r="G53">
        <f t="shared" si="78"/>
        <v>0.18796108558516145</v>
      </c>
      <c r="H53" s="31">
        <f>'All Experimental Diel Data'!J57</f>
        <v>9.7171961058394825</v>
      </c>
      <c r="I53">
        <f t="shared" si="79"/>
        <v>2.7908233689156157E-4</v>
      </c>
      <c r="J53">
        <f t="shared" si="80"/>
        <v>-17811.167772853158</v>
      </c>
      <c r="K53">
        <f t="shared" si="86"/>
        <v>9019.7298093504778</v>
      </c>
      <c r="L53">
        <f t="shared" si="87"/>
        <v>-8791.4379635026798</v>
      </c>
      <c r="M53">
        <f t="shared" si="88"/>
        <v>-26830.897582203637</v>
      </c>
      <c r="N53">
        <f t="shared" si="81"/>
        <v>-1.7811167772853159E-2</v>
      </c>
      <c r="O53">
        <f t="shared" si="89"/>
        <v>-8.7914379635026796E-3</v>
      </c>
      <c r="P53">
        <f t="shared" si="90"/>
        <v>-2.6830897582203639E-2</v>
      </c>
      <c r="Q53">
        <f t="shared" si="82"/>
        <v>-9.4759868604734523E-2</v>
      </c>
      <c r="R53">
        <f t="shared" si="91"/>
        <v>-4.6772649435031344E-2</v>
      </c>
      <c r="S53">
        <f t="shared" si="92"/>
        <v>-0.1427470877744377</v>
      </c>
      <c r="T53">
        <f t="shared" si="83"/>
        <v>-2.1277259205883823</v>
      </c>
      <c r="U53" s="17">
        <f t="shared" si="93"/>
        <v>-8.0677063716381952</v>
      </c>
      <c r="V53">
        <f t="shared" si="94"/>
        <v>-1.0502270638705531</v>
      </c>
      <c r="W53" s="17">
        <f t="shared" si="101"/>
        <v>0.66613511774645628</v>
      </c>
      <c r="X53">
        <f t="shared" si="95"/>
        <v>-3.2052247773062121</v>
      </c>
      <c r="Y53" s="17">
        <f t="shared" si="102"/>
        <v>-16.801547861022847</v>
      </c>
      <c r="Z53">
        <f t="shared" si="84"/>
        <v>-63494.643338698996</v>
      </c>
      <c r="AA53" s="17">
        <f t="shared" si="96"/>
        <v>-240752.8778362872</v>
      </c>
      <c r="AB53">
        <f t="shared" si="97"/>
        <v>-31340.405359478667</v>
      </c>
      <c r="AC53" s="17">
        <f t="shared" si="103"/>
        <v>19878.505641834439</v>
      </c>
      <c r="AD53">
        <f t="shared" si="98"/>
        <v>-95648.881317919338</v>
      </c>
      <c r="AE53" s="17">
        <f t="shared" si="104"/>
        <v>-501384.26131440885</v>
      </c>
      <c r="AF53" s="17">
        <f t="shared" si="99"/>
        <v>8.7338414893846519</v>
      </c>
      <c r="AG53" s="17">
        <f t="shared" si="100"/>
        <v>260631.38347812163</v>
      </c>
    </row>
    <row r="54" spans="1:33" x14ac:dyDescent="0.2">
      <c r="A54" s="20">
        <v>42301.25</v>
      </c>
      <c r="B54">
        <f>('Single Box Model Fluxes'!P105-'Single Box Model Fluxes'!P104)/('Single Box Model Fluxes'!A105-'Single Box Model Fluxes'!A104)*(1/24)-('Single Box Model Fluxes'!C129+'Single Box Model Fluxes'!D129+('Single Box Model Fluxes'!AB129*-1.45))</f>
        <v>18.890731389581575</v>
      </c>
      <c r="E54" s="20">
        <f t="shared" si="85"/>
        <v>42817.916666666679</v>
      </c>
      <c r="F54" s="17">
        <f>'All Experimental Diel Data'!O58</f>
        <v>159.34</v>
      </c>
      <c r="G54">
        <f t="shared" si="78"/>
        <v>0.15285148196968268</v>
      </c>
      <c r="H54" s="31">
        <f>'All Experimental Diel Data'!J58</f>
        <v>11.844834026201838</v>
      </c>
      <c r="I54">
        <f t="shared" si="79"/>
        <v>3.4018907554397973E-4</v>
      </c>
      <c r="J54">
        <f t="shared" si="80"/>
        <v>-11181.679215825956</v>
      </c>
      <c r="K54">
        <f t="shared" si="86"/>
        <v>9034.837502815566</v>
      </c>
      <c r="L54">
        <f t="shared" si="87"/>
        <v>-2146.8417130103899</v>
      </c>
      <c r="M54">
        <f t="shared" si="88"/>
        <v>-20216.51671864152</v>
      </c>
      <c r="N54">
        <f t="shared" si="81"/>
        <v>-1.1181679215825956E-2</v>
      </c>
      <c r="O54">
        <f t="shared" si="89"/>
        <v>-2.1468417130103899E-3</v>
      </c>
      <c r="P54">
        <f t="shared" si="90"/>
        <v>-2.0216516718641522E-2</v>
      </c>
      <c r="Q54">
        <f t="shared" si="82"/>
        <v>-7.3153881609363688E-2</v>
      </c>
      <c r="R54">
        <f t="shared" si="91"/>
        <v>-1.404527902082235E-2</v>
      </c>
      <c r="S54">
        <f t="shared" si="92"/>
        <v>-0.13226248419790504</v>
      </c>
      <c r="T54">
        <f t="shared" si="83"/>
        <v>-1.642587863235176</v>
      </c>
      <c r="U54" s="17">
        <f t="shared" si="93"/>
        <v>-11.352882098204159</v>
      </c>
      <c r="V54">
        <f t="shared" si="94"/>
        <v>-0.31537089143881314</v>
      </c>
      <c r="W54" s="17">
        <f t="shared" si="101"/>
        <v>3.5393334850473024E-2</v>
      </c>
      <c r="X54">
        <f t="shared" si="95"/>
        <v>-2.9698048350315385</v>
      </c>
      <c r="Y54" s="17">
        <f t="shared" si="102"/>
        <v>-22.741157531258789</v>
      </c>
      <c r="Z54">
        <f t="shared" si="84"/>
        <v>-49017.370855618581</v>
      </c>
      <c r="AA54" s="17">
        <f t="shared" si="96"/>
        <v>-338787.61955037754</v>
      </c>
      <c r="AB54">
        <f t="shared" si="97"/>
        <v>-9411.1568024596145</v>
      </c>
      <c r="AC54" s="17">
        <f t="shared" si="103"/>
        <v>1056.1920363674071</v>
      </c>
      <c r="AD54">
        <f t="shared" si="98"/>
        <v>-88623.584908777528</v>
      </c>
      <c r="AE54" s="17">
        <f t="shared" si="104"/>
        <v>-678631.43113712245</v>
      </c>
      <c r="AF54" s="17">
        <f t="shared" si="99"/>
        <v>11.388275433054632</v>
      </c>
      <c r="AG54" s="17">
        <f t="shared" si="100"/>
        <v>339843.81158674497</v>
      </c>
    </row>
    <row r="55" spans="1:33" x14ac:dyDescent="0.2">
      <c r="A55" s="20"/>
      <c r="E55" s="20">
        <f t="shared" si="85"/>
        <v>42818.000000000015</v>
      </c>
      <c r="F55" s="17">
        <f>'All Experimental Diel Data'!O59</f>
        <v>155.36000000000001</v>
      </c>
      <c r="G55">
        <f t="shared" si="78"/>
        <v>0.1490335523961962</v>
      </c>
      <c r="H55" s="31">
        <f>'All Experimental Diel Data'!J59</f>
        <v>13.487056244496218</v>
      </c>
      <c r="I55">
        <f t="shared" si="79"/>
        <v>3.8735445220046383E-4</v>
      </c>
      <c r="J55">
        <f t="shared" si="80"/>
        <v>-5462.4899330072822</v>
      </c>
      <c r="K55">
        <f t="shared" si="86"/>
        <v>9015.8827123264564</v>
      </c>
      <c r="L55">
        <f t="shared" si="87"/>
        <v>3553.3927793191742</v>
      </c>
      <c r="M55">
        <f t="shared" si="88"/>
        <v>-14478.372645333739</v>
      </c>
      <c r="N55">
        <f t="shared" si="81"/>
        <v>-5.4624899330072817E-3</v>
      </c>
      <c r="O55">
        <f t="shared" si="89"/>
        <v>3.5533927793191741E-3</v>
      </c>
      <c r="P55">
        <f t="shared" si="90"/>
        <v>-1.4478372645333739E-2</v>
      </c>
      <c r="Q55">
        <f t="shared" si="82"/>
        <v>-3.6652752653211947E-2</v>
      </c>
      <c r="R55">
        <f t="shared" si="91"/>
        <v>2.3842904649234328E-2</v>
      </c>
      <c r="S55">
        <f t="shared" si="92"/>
        <v>-9.7148409955658224E-2</v>
      </c>
      <c r="T55">
        <f t="shared" si="83"/>
        <v>-0.82299620112872518</v>
      </c>
      <c r="U55" s="17">
        <f t="shared" si="93"/>
        <v>-12.998874500509514</v>
      </c>
      <c r="V55">
        <f t="shared" si="94"/>
        <v>0.53536551908809249</v>
      </c>
      <c r="W55" s="17">
        <f t="shared" si="101"/>
        <v>1.1061243730578205</v>
      </c>
      <c r="X55">
        <f t="shared" si="95"/>
        <v>-2.1813579213455432</v>
      </c>
      <c r="Y55" s="17">
        <f t="shared" si="102"/>
        <v>-27.103873374076848</v>
      </c>
      <c r="Z55">
        <f t="shared" si="84"/>
        <v>-24559.48379165406</v>
      </c>
      <c r="AA55" s="17">
        <f t="shared" si="96"/>
        <v>-387906.58713511523</v>
      </c>
      <c r="AB55">
        <f t="shared" si="97"/>
        <v>15976.137885717821</v>
      </c>
      <c r="AC55" s="17">
        <f t="shared" si="103"/>
        <v>33008.467808732981</v>
      </c>
      <c r="AD55">
        <f t="shared" si="98"/>
        <v>-65095.105469025948</v>
      </c>
      <c r="AE55" s="17">
        <f t="shared" si="104"/>
        <v>-808821.64207896334</v>
      </c>
      <c r="AF55" s="17">
        <f t="shared" si="99"/>
        <v>14.104998873567334</v>
      </c>
      <c r="AG55" s="17">
        <f t="shared" si="100"/>
        <v>420915.05494384823</v>
      </c>
    </row>
    <row r="56" spans="1:33" x14ac:dyDescent="0.2">
      <c r="E56" s="20">
        <f t="shared" si="85"/>
        <v>42818.08333333335</v>
      </c>
      <c r="F56" s="17">
        <f>'All Experimental Diel Data'!O60</f>
        <v>150.41999999999999</v>
      </c>
      <c r="G56">
        <f t="shared" si="78"/>
        <v>0.14429471518689385</v>
      </c>
      <c r="H56" s="31">
        <f>'All Experimental Diel Data'!J60</f>
        <v>13.550043301301324</v>
      </c>
      <c r="I56">
        <f t="shared" si="79"/>
        <v>3.8916346941238639E-4</v>
      </c>
      <c r="J56">
        <f t="shared" si="80"/>
        <v>-7755.857491693866</v>
      </c>
      <c r="K56">
        <f t="shared" si="86"/>
        <v>3943.1464519099404</v>
      </c>
      <c r="L56">
        <f t="shared" si="87"/>
        <v>-3812.7110397839256</v>
      </c>
      <c r="M56">
        <f t="shared" si="88"/>
        <v>-11699.003943603806</v>
      </c>
      <c r="N56">
        <f t="shared" si="81"/>
        <v>-7.7558574916938659E-3</v>
      </c>
      <c r="O56">
        <f t="shared" si="89"/>
        <v>-3.8127110397839256E-3</v>
      </c>
      <c r="P56">
        <f t="shared" si="90"/>
        <v>-1.1699003943603806E-2</v>
      </c>
      <c r="Q56">
        <f t="shared" si="82"/>
        <v>-5.3750114698575761E-2</v>
      </c>
      <c r="R56">
        <f t="shared" si="91"/>
        <v>-2.6423081641248011E-2</v>
      </c>
      <c r="S56">
        <f t="shared" si="92"/>
        <v>-8.1077147755903495E-2</v>
      </c>
      <c r="T56">
        <f t="shared" si="83"/>
        <v>-1.2068981728520904</v>
      </c>
      <c r="U56" s="17">
        <f t="shared" si="93"/>
        <v>-17.826467191847627</v>
      </c>
      <c r="V56">
        <f t="shared" si="94"/>
        <v>-0.59330048192043838</v>
      </c>
      <c r="W56" s="17">
        <f t="shared" si="101"/>
        <v>-1.2670775545893984</v>
      </c>
      <c r="X56">
        <f t="shared" si="95"/>
        <v>-1.8204958637837421</v>
      </c>
      <c r="Y56" s="17">
        <f t="shared" si="102"/>
        <v>-34.385856829105848</v>
      </c>
      <c r="Z56">
        <f t="shared" si="84"/>
        <v>-36015.714378372548</v>
      </c>
      <c r="AA56" s="17">
        <f t="shared" si="96"/>
        <v>-531969.44464650902</v>
      </c>
      <c r="AB56">
        <f t="shared" si="97"/>
        <v>-17705.007081832773</v>
      </c>
      <c r="AC56" s="17">
        <f t="shared" si="103"/>
        <v>-37811.560517567545</v>
      </c>
      <c r="AD56">
        <f t="shared" si="98"/>
        <v>-54326.421674912315</v>
      </c>
      <c r="AE56" s="17">
        <f t="shared" si="104"/>
        <v>-1026127.3287754504</v>
      </c>
      <c r="AF56" s="17">
        <f t="shared" si="99"/>
        <v>16.559389637258228</v>
      </c>
      <c r="AG56" s="17">
        <f t="shared" si="100"/>
        <v>494157.88412894146</v>
      </c>
    </row>
    <row r="57" spans="1:33" x14ac:dyDescent="0.2">
      <c r="A57" s="10" t="s">
        <v>86</v>
      </c>
      <c r="E57" s="20">
        <f>E56+(1/24*4)</f>
        <v>42818.250000000015</v>
      </c>
      <c r="F57" s="17">
        <f>'All Experimental Diel Data'!O61</f>
        <v>149.16999999999999</v>
      </c>
      <c r="G57">
        <f t="shared" si="78"/>
        <v>0.14309561670275867</v>
      </c>
      <c r="H57" s="31">
        <f>'All Experimental Diel Data'!J61</f>
        <v>14.677173838767649</v>
      </c>
      <c r="I57">
        <f t="shared" si="79"/>
        <v>4.2153517632781125E-4</v>
      </c>
      <c r="J57">
        <f t="shared" si="80"/>
        <v>13839.517802474982</v>
      </c>
      <c r="K57">
        <f t="shared" si="86"/>
        <v>9048.8751227631565</v>
      </c>
      <c r="L57">
        <f t="shared" si="87"/>
        <v>22888.392925238139</v>
      </c>
      <c r="M57">
        <f t="shared" si="88"/>
        <v>4790.6426797118256</v>
      </c>
      <c r="N57">
        <f t="shared" si="81"/>
        <v>1.3839517802474981E-2</v>
      </c>
      <c r="O57">
        <f t="shared" si="89"/>
        <v>2.288839292523814E-2</v>
      </c>
      <c r="P57">
        <f t="shared" si="90"/>
        <v>4.7906426797118254E-3</v>
      </c>
      <c r="Q57">
        <f t="shared" si="82"/>
        <v>9.6715176337111214E-2</v>
      </c>
      <c r="R57">
        <f t="shared" si="91"/>
        <v>0.15995174033026049</v>
      </c>
      <c r="S57">
        <f t="shared" si="92"/>
        <v>3.3478612343961961E-2</v>
      </c>
      <c r="T57">
        <f t="shared" si="83"/>
        <v>2.1716301493105492</v>
      </c>
      <c r="U57" s="17">
        <f t="shared" si="93"/>
        <v>-13.483206893100123</v>
      </c>
      <c r="V57">
        <f t="shared" si="94"/>
        <v>3.5915358363731755</v>
      </c>
      <c r="W57" s="17">
        <f t="shared" si="101"/>
        <v>5.9159941183660081</v>
      </c>
      <c r="X57">
        <f t="shared" si="95"/>
        <v>0.75172446224792455</v>
      </c>
      <c r="Y57" s="17">
        <f t="shared" si="102"/>
        <v>-32.882407904566243</v>
      </c>
      <c r="Z57">
        <f t="shared" si="84"/>
        <v>64804.813655655875</v>
      </c>
      <c r="AA57" s="17">
        <f t="shared" si="96"/>
        <v>-402359.81733142515</v>
      </c>
      <c r="AB57">
        <f t="shared" si="97"/>
        <v>107177.00280946416</v>
      </c>
      <c r="AC57" s="17">
        <f t="shared" si="103"/>
        <v>176542.44510759931</v>
      </c>
      <c r="AD57">
        <f t="shared" si="98"/>
        <v>22432.624501847637</v>
      </c>
      <c r="AE57" s="17">
        <f t="shared" si="104"/>
        <v>-981262.07977044932</v>
      </c>
      <c r="AF57" s="17">
        <f t="shared" si="99"/>
        <v>19.399201011466133</v>
      </c>
      <c r="AG57" s="17">
        <f t="shared" si="100"/>
        <v>578902.2624390244</v>
      </c>
    </row>
    <row r="58" spans="1:33" x14ac:dyDescent="0.2">
      <c r="A58" t="s">
        <v>99</v>
      </c>
      <c r="B58" s="18" t="s">
        <v>362</v>
      </c>
      <c r="C58" s="18" t="s">
        <v>363</v>
      </c>
      <c r="E58" s="20">
        <f t="shared" si="85"/>
        <v>42818.33333333335</v>
      </c>
      <c r="F58" s="17">
        <f>'All Experimental Diel Data'!O62</f>
        <v>163.96</v>
      </c>
      <c r="G58">
        <f t="shared" si="78"/>
        <v>0.1572833499670464</v>
      </c>
      <c r="H58" s="31">
        <f>'All Experimental Diel Data'!J62</f>
        <v>12.230845883907417</v>
      </c>
      <c r="I58">
        <f t="shared" si="79"/>
        <v>3.5127551345703027E-4</v>
      </c>
      <c r="J58">
        <f t="shared" si="80"/>
        <v>569.7895475946616</v>
      </c>
      <c r="K58">
        <f t="shared" si="86"/>
        <v>9000.8350535449026</v>
      </c>
      <c r="L58">
        <f t="shared" si="87"/>
        <v>9570.6246011395633</v>
      </c>
      <c r="M58">
        <f t="shared" si="88"/>
        <v>-8431.0455059502419</v>
      </c>
      <c r="N58">
        <f t="shared" si="81"/>
        <v>5.6978954759466158E-4</v>
      </c>
      <c r="O58">
        <f t="shared" si="89"/>
        <v>9.5706246011395633E-3</v>
      </c>
      <c r="P58">
        <f t="shared" si="90"/>
        <v>-8.4310455059502416E-3</v>
      </c>
      <c r="Q58">
        <f t="shared" si="82"/>
        <v>3.6226946317842439E-3</v>
      </c>
      <c r="R58">
        <f t="shared" si="91"/>
        <v>6.0849572463612805E-2</v>
      </c>
      <c r="S58">
        <f t="shared" si="92"/>
        <v>-5.3604183200044328E-2</v>
      </c>
      <c r="T58">
        <f t="shared" si="83"/>
        <v>8.1343520035638786E-2</v>
      </c>
      <c r="U58" s="17">
        <f t="shared" si="93"/>
        <v>-13.320519853024111</v>
      </c>
      <c r="V58">
        <f t="shared" si="94"/>
        <v>1.3663084857958661</v>
      </c>
      <c r="W58" s="17">
        <f t="shared" si="101"/>
        <v>8.6486110900372708</v>
      </c>
      <c r="X58">
        <f t="shared" si="95"/>
        <v>-1.2036214457245886</v>
      </c>
      <c r="Y58" s="17">
        <f t="shared" si="102"/>
        <v>-35.289650796085482</v>
      </c>
      <c r="Z58">
        <f t="shared" si="84"/>
        <v>2427.4168691562263</v>
      </c>
      <c r="AA58" s="17">
        <f t="shared" si="96"/>
        <v>-397504.9835929714</v>
      </c>
      <c r="AB58">
        <f t="shared" si="97"/>
        <v>40772.765494277774</v>
      </c>
      <c r="AC58" s="17">
        <f t="shared" si="103"/>
        <v>258087.97609852813</v>
      </c>
      <c r="AD58">
        <f t="shared" si="98"/>
        <v>-35917.931755965321</v>
      </c>
      <c r="AE58" s="17">
        <f t="shared" si="104"/>
        <v>-1053097.9432844706</v>
      </c>
      <c r="AF58" s="17">
        <f t="shared" si="99"/>
        <v>21.96913094306138</v>
      </c>
      <c r="AG58" s="17">
        <f t="shared" si="100"/>
        <v>655592.95969149959</v>
      </c>
    </row>
    <row r="59" spans="1:33" x14ac:dyDescent="0.2">
      <c r="A59" s="20">
        <v>42817.5</v>
      </c>
      <c r="B59">
        <f>('Single Box Model Fluxes'!P140-'Single Box Model Fluxes'!P139)/('Single Box Model Fluxes'!A140-'Single Box Model Fluxes'!A139)*(1/24)-('Single Box Model Fluxes'!C164+'Single Box Model Fluxes'!D164+('Single Box Model Fluxes'!AB164*-1.45))</f>
        <v>0.4693352749821873</v>
      </c>
      <c r="C59">
        <v>8.8651469579043294</v>
      </c>
      <c r="E59" s="20">
        <f t="shared" si="85"/>
        <v>42818.416666666686</v>
      </c>
      <c r="F59" s="17">
        <f>'All Experimental Diel Data'!O63</f>
        <v>212.76</v>
      </c>
      <c r="G59">
        <f t="shared" si="78"/>
        <v>0.20409615478768475</v>
      </c>
      <c r="H59" s="31">
        <f>'All Experimental Diel Data'!J63</f>
        <v>11.313035231539033</v>
      </c>
      <c r="I59">
        <f t="shared" si="79"/>
        <v>3.2491556981721745E-4</v>
      </c>
      <c r="J59">
        <f t="shared" si="80"/>
        <v>22678.996180063652</v>
      </c>
      <c r="K59">
        <f t="shared" si="86"/>
        <v>8999.7289706220181</v>
      </c>
      <c r="L59">
        <f t="shared" si="87"/>
        <v>31678.72515068567</v>
      </c>
      <c r="M59">
        <f t="shared" si="88"/>
        <v>13679.267209441634</v>
      </c>
      <c r="N59">
        <f t="shared" si="81"/>
        <v>2.2678996180063651E-2</v>
      </c>
      <c r="O59">
        <f t="shared" si="89"/>
        <v>3.167872515068567E-2</v>
      </c>
      <c r="P59">
        <f t="shared" si="90"/>
        <v>1.3679267209441634E-2</v>
      </c>
      <c r="Q59">
        <f t="shared" si="82"/>
        <v>0.11111917421303673</v>
      </c>
      <c r="R59">
        <f t="shared" si="91"/>
        <v>0.15521470839879428</v>
      </c>
      <c r="S59">
        <f t="shared" si="92"/>
        <v>6.7023640027279174E-2</v>
      </c>
      <c r="T59">
        <f t="shared" si="83"/>
        <v>2.4950556678551736</v>
      </c>
      <c r="U59" s="17">
        <f t="shared" si="93"/>
        <v>-8.3304085171685323</v>
      </c>
      <c r="V59">
        <f t="shared" si="94"/>
        <v>3.4851711297136738</v>
      </c>
      <c r="W59" s="17">
        <f t="shared" si="101"/>
        <v>15.618953349667482</v>
      </c>
      <c r="X59">
        <f t="shared" si="95"/>
        <v>1.5049402059966741</v>
      </c>
      <c r="Y59" s="17">
        <f t="shared" si="102"/>
        <v>-32.279770384004536</v>
      </c>
      <c r="Z59">
        <f t="shared" si="84"/>
        <v>74456.333030362715</v>
      </c>
      <c r="AA59" s="17">
        <f t="shared" si="96"/>
        <v>-248592.31752791203</v>
      </c>
      <c r="AB59">
        <f t="shared" si="97"/>
        <v>104002.91490283057</v>
      </c>
      <c r="AC59" s="17">
        <f t="shared" si="103"/>
        <v>466093.80591024307</v>
      </c>
      <c r="AD59">
        <f t="shared" si="98"/>
        <v>44909.751157894862</v>
      </c>
      <c r="AE59" s="17">
        <f t="shared" si="104"/>
        <v>-963278.44096606679</v>
      </c>
      <c r="AF59" s="17">
        <f t="shared" si="99"/>
        <v>23.949361866836014</v>
      </c>
      <c r="AG59" s="17">
        <f t="shared" si="100"/>
        <v>714686.12343815505</v>
      </c>
    </row>
    <row r="60" spans="1:33" x14ac:dyDescent="0.2">
      <c r="A60" s="20">
        <f t="shared" ref="A60:A70" si="105">A59+(1/24*2)</f>
        <v>42817.583333333336</v>
      </c>
      <c r="B60">
        <f>('Single Box Model Fluxes'!P141-'Single Box Model Fluxes'!P140)/('Single Box Model Fluxes'!A141-'Single Box Model Fluxes'!A140)*(1/24)-('Single Box Model Fluxes'!C165+'Single Box Model Fluxes'!D165+('Single Box Model Fluxes'!AB165*-1.45))</f>
        <v>-13.490459868009246</v>
      </c>
      <c r="C60">
        <v>8.8082232330501196</v>
      </c>
      <c r="E60" s="20">
        <f t="shared" si="85"/>
        <v>42818.500000000022</v>
      </c>
      <c r="F60" s="17">
        <f>'All Experimental Diel Data'!O64</f>
        <v>254.13</v>
      </c>
      <c r="G60">
        <f t="shared" si="78"/>
        <v>0.24378151821862346</v>
      </c>
      <c r="H60" s="31">
        <f>'All Experimental Diel Data'!J64</f>
        <v>8.2717359701487734</v>
      </c>
      <c r="I60">
        <f t="shared" si="79"/>
        <v>2.3756805765315711E-4</v>
      </c>
      <c r="AA60" s="17"/>
      <c r="AB60" s="17"/>
      <c r="AC60" s="17"/>
      <c r="AD60" s="17"/>
      <c r="AE60" s="17"/>
      <c r="AG60" s="17"/>
    </row>
    <row r="61" spans="1:33" x14ac:dyDescent="0.2">
      <c r="A61" s="20">
        <f t="shared" si="105"/>
        <v>42817.666666666672</v>
      </c>
      <c r="B61">
        <f>('Single Box Model Fluxes'!P142-'Single Box Model Fluxes'!P141)/('Single Box Model Fluxes'!A142-'Single Box Model Fluxes'!A141)*(1/24)-('Single Box Model Fluxes'!C166+'Single Box Model Fluxes'!D166+('Single Box Model Fluxes'!AB166*-1.45))</f>
        <v>4.586612337601661</v>
      </c>
      <c r="C61">
        <v>8.8188215383262207</v>
      </c>
    </row>
    <row r="62" spans="1:33" x14ac:dyDescent="0.2">
      <c r="A62" s="20">
        <f t="shared" si="105"/>
        <v>42817.750000000007</v>
      </c>
      <c r="B62">
        <f>('Single Box Model Fluxes'!P143-'Single Box Model Fluxes'!P142)/('Single Box Model Fluxes'!A143-'Single Box Model Fluxes'!A142)*(1/24)-('Single Box Model Fluxes'!C167+'Single Box Model Fluxes'!D167+('Single Box Model Fluxes'!AB167*-1.45))</f>
        <v>27.28014310906627</v>
      </c>
      <c r="C62">
        <v>8.8456063400238101</v>
      </c>
    </row>
    <row r="63" spans="1:33" x14ac:dyDescent="0.2">
      <c r="A63" s="20">
        <f t="shared" si="105"/>
        <v>42817.833333333343</v>
      </c>
      <c r="B63">
        <f>('Single Box Model Fluxes'!P144-'Single Box Model Fluxes'!P143)/('Single Box Model Fluxes'!A144-'Single Box Model Fluxes'!A143)*(1/24)-('Single Box Model Fluxes'!C168+'Single Box Model Fluxes'!D168+('Single Box Model Fluxes'!AB168*-1.45))</f>
        <v>17.376749046686008</v>
      </c>
      <c r="C63">
        <v>8.7997363993663207</v>
      </c>
    </row>
    <row r="64" spans="1:33" x14ac:dyDescent="0.2">
      <c r="A64" s="20">
        <f t="shared" si="105"/>
        <v>42817.916666666679</v>
      </c>
      <c r="B64">
        <f>('Single Box Model Fluxes'!P145-'Single Box Model Fluxes'!P144)/('Single Box Model Fluxes'!A145-'Single Box Model Fluxes'!A144)*(1/24)-('Single Box Model Fluxes'!C169+'Single Box Model Fluxes'!D169+('Single Box Model Fluxes'!AB169*-1.45))</f>
        <v>10.908955332513127</v>
      </c>
      <c r="C64">
        <v>8.8144756125029904</v>
      </c>
    </row>
    <row r="65" spans="1:3" x14ac:dyDescent="0.2">
      <c r="A65" s="20">
        <f t="shared" si="105"/>
        <v>42818.000000000015</v>
      </c>
      <c r="B65">
        <f>('Single Box Model Fluxes'!P146-'Single Box Model Fluxes'!P145)/('Single Box Model Fluxes'!A146-'Single Box Model Fluxes'!A145)*(1/24)-('Single Box Model Fluxes'!C170+'Single Box Model Fluxes'!D170+('Single Box Model Fluxes'!AB170*-1.45))</f>
        <v>5.3292584712266171</v>
      </c>
      <c r="C65">
        <v>8.79598313397703</v>
      </c>
    </row>
    <row r="66" spans="1:3" x14ac:dyDescent="0.2">
      <c r="A66" s="20">
        <f t="shared" si="105"/>
        <v>42818.08333333335</v>
      </c>
      <c r="B66">
        <f>('Single Box Model Fluxes'!P147-'Single Box Model Fluxes'!P146)/('Single Box Model Fluxes'!A147-'Single Box Model Fluxes'!A146)*(1/24)-('Single Box Model Fluxes'!C171+'Single Box Model Fluxes'!D171+('Single Box Model Fluxes'!AB171*-1.45))</f>
        <v>7.5666902357988937</v>
      </c>
      <c r="C66">
        <v>3.84697214820482</v>
      </c>
    </row>
    <row r="67" spans="1:3" x14ac:dyDescent="0.2">
      <c r="A67" s="20">
        <f>A66+(1/24*4)</f>
        <v>42818.250000000015</v>
      </c>
      <c r="B67">
        <f>('Single Box Model Fluxes'!P148-'Single Box Model Fluxes'!P147)/('Single Box Model Fluxes'!A148-'Single Box Model Fluxes'!A147)*(1/24)-('Single Box Model Fluxes'!C172+'Single Box Model Fluxes'!D172+('Single Box Model Fluxes'!AB172*-1.45))</f>
        <v>-13.501968587780471</v>
      </c>
      <c r="C67">
        <v>8.8281708514762496</v>
      </c>
    </row>
    <row r="68" spans="1:3" x14ac:dyDescent="0.2">
      <c r="A68" s="20">
        <f t="shared" si="105"/>
        <v>42818.33333333335</v>
      </c>
      <c r="B68">
        <f>('Single Box Model Fluxes'!P149-'Single Box Model Fluxes'!P148)/('Single Box Model Fluxes'!A149-'Single Box Model Fluxes'!A148)*(1/24)-('Single Box Model Fluxes'!C173+'Single Box Model Fluxes'!D173+('Single Box Model Fluxes'!AB173*-1.45))</f>
        <v>-0.55589224155576744</v>
      </c>
      <c r="C68">
        <v>8.78130249126332</v>
      </c>
    </row>
    <row r="69" spans="1:3" x14ac:dyDescent="0.2">
      <c r="A69" s="20">
        <f t="shared" si="105"/>
        <v>42818.416666666686</v>
      </c>
      <c r="B69">
        <f>('Single Box Model Fluxes'!P150-'Single Box Model Fluxes'!P149)/('Single Box Model Fluxes'!A150-'Single Box Model Fluxes'!A149)*(1/24)-('Single Box Model Fluxes'!C174+'Single Box Model Fluxes'!D174+('Single Box Model Fluxes'!AB174*-1.45))</f>
        <v>-22.125849931769416</v>
      </c>
      <c r="C69">
        <v>8.7802233859727004</v>
      </c>
    </row>
    <row r="70" spans="1:3" x14ac:dyDescent="0.2">
      <c r="A70" s="20">
        <f t="shared" si="105"/>
        <v>42818.500000000022</v>
      </c>
      <c r="B70">
        <f>('Single Box Model Fluxes'!P151-'Single Box Model Fluxes'!P150)/('Single Box Model Fluxes'!A151-'Single Box Model Fluxes'!A150)*(1/24)-('Single Box Model Fluxes'!C175+'Single Box Model Fluxes'!D175+('Single Box Model Fluxes'!AB175*-1.45))</f>
        <v>-3.0575494526909814</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18</vt:i4>
      </vt:variant>
    </vt:vector>
  </HeadingPairs>
  <TitlesOfParts>
    <vt:vector size="18" baseType="lpstr">
      <vt:lpstr>README</vt:lpstr>
      <vt:lpstr>All Experimental Diel Data</vt:lpstr>
      <vt:lpstr>Single Box Model Fluxes</vt:lpstr>
      <vt:lpstr>Non-Dispersive Model Output</vt:lpstr>
      <vt:lpstr>MultiBox Eulerian Inverse Model</vt:lpstr>
      <vt:lpstr>Metabolism &amp; Q Summary</vt:lpstr>
      <vt:lpstr>Single Box Piecewise Q</vt:lpstr>
      <vt:lpstr>Q Assumption Error</vt:lpstr>
      <vt:lpstr>Missing O2 Flux if Redfield</vt:lpstr>
      <vt:lpstr>Impact of Mixing on Q</vt:lpstr>
      <vt:lpstr>Single Box Q Error Plots</vt:lpstr>
      <vt:lpstr>O2 Gradient Evidence</vt:lpstr>
      <vt:lpstr>Rain and Salinity</vt:lpstr>
      <vt:lpstr>Piston Velocity</vt:lpstr>
      <vt:lpstr>Flow Data</vt:lpstr>
      <vt:lpstr>O2 Optode Accuracy</vt:lpstr>
      <vt:lpstr>Long Term DIC TA Precision</vt:lpstr>
      <vt:lpstr>P16 Repeat Hydrography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Isaiah Bolden</dc:creator>
  <cp:lastModifiedBy>Isaiah W Bolden</cp:lastModifiedBy>
  <dcterms:created xsi:type="dcterms:W3CDTF">2019-04-16T17:43:02Z</dcterms:created>
  <dcterms:modified xsi:type="dcterms:W3CDTF">2019-10-15T04:27:11Z</dcterms:modified>
</cp:coreProperties>
</file>