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120" windowWidth="15150" windowHeight="9330"/>
  </bookViews>
  <sheets>
    <sheet name="Jul-Sep 2013" sheetId="16" r:id="rId1"/>
    <sheet name="Oct-Dec 2013" sheetId="20" r:id="rId2"/>
    <sheet name="Jan-Mar 2014" sheetId="12" r:id="rId3"/>
    <sheet name="Apr-Jun 2014" sheetId="22" r:id="rId4"/>
    <sheet name="Annual 2014" sheetId="18" r:id="rId5"/>
  </sheets>
  <definedNames>
    <definedName name="_xlnm.Print_Area" localSheetId="4">'Annual 2014'!$A$1:$H$38</definedName>
    <definedName name="_xlnm.Print_Area" localSheetId="3">'Apr-Jun 2014'!$A$1:$G$38</definedName>
    <definedName name="_xlnm.Print_Area" localSheetId="2">'Jan-Mar 2014'!$A$1:$G$38</definedName>
    <definedName name="_xlnm.Print_Area" localSheetId="0">'Jul-Sep 2013'!$A$1:$G$38</definedName>
    <definedName name="_xlnm.Print_Area" localSheetId="1">'Oct-Dec 2013'!$A$1:$G$38</definedName>
  </definedNames>
  <calcPr calcId="145621"/>
</workbook>
</file>

<file path=xl/calcChain.xml><?xml version="1.0" encoding="utf-8"?>
<calcChain xmlns="http://schemas.openxmlformats.org/spreadsheetml/2006/main">
  <c r="F9" i="22" l="1"/>
  <c r="E3" i="18" l="1"/>
  <c r="D30" i="22"/>
  <c r="C23" i="22"/>
  <c r="D23" i="22"/>
  <c r="E23" i="22"/>
  <c r="B23" i="22"/>
  <c r="C10" i="22"/>
  <c r="C30" i="22" s="1"/>
  <c r="D10" i="22"/>
  <c r="E10" i="22"/>
  <c r="E30" i="22" s="1"/>
  <c r="B10" i="22"/>
  <c r="F34" i="22"/>
  <c r="G34" i="22" s="1"/>
  <c r="F35" i="22"/>
  <c r="G35" i="22" s="1"/>
  <c r="F37" i="22"/>
  <c r="G37" i="22" s="1"/>
  <c r="F38" i="22"/>
  <c r="G38" i="22" s="1"/>
  <c r="F32" i="22"/>
  <c r="G32" i="22" s="1"/>
  <c r="F27" i="22"/>
  <c r="G27" i="22" s="1"/>
  <c r="F28" i="22"/>
  <c r="G28" i="22" s="1"/>
  <c r="F26" i="22"/>
  <c r="G26" i="22" s="1"/>
  <c r="F14" i="22"/>
  <c r="G14" i="22" s="1"/>
  <c r="F15" i="22"/>
  <c r="G15" i="22" s="1"/>
  <c r="F16" i="22"/>
  <c r="G16" i="22" s="1"/>
  <c r="F17" i="22"/>
  <c r="G17" i="22" s="1"/>
  <c r="F18" i="22"/>
  <c r="G18" i="22" s="1"/>
  <c r="F19" i="22"/>
  <c r="G19" i="22" s="1"/>
  <c r="F20" i="22"/>
  <c r="G20" i="22" s="1"/>
  <c r="F21" i="22"/>
  <c r="G21" i="22" s="1"/>
  <c r="F22" i="22"/>
  <c r="G22" i="22" s="1"/>
  <c r="F13" i="22"/>
  <c r="G13" i="22" s="1"/>
  <c r="F4" i="22"/>
  <c r="F10" i="22" s="1"/>
  <c r="G10" i="22" s="1"/>
  <c r="F5" i="22"/>
  <c r="F6" i="22"/>
  <c r="F7" i="22"/>
  <c r="F8" i="22"/>
  <c r="F3" i="22"/>
  <c r="E10" i="12"/>
  <c r="C30" i="12"/>
  <c r="B30" i="12"/>
  <c r="G38" i="12"/>
  <c r="G35" i="12"/>
  <c r="G34" i="12"/>
  <c r="G32" i="12"/>
  <c r="G26" i="12"/>
  <c r="G21" i="12"/>
  <c r="G20" i="12"/>
  <c r="G17" i="12"/>
  <c r="G16" i="12"/>
  <c r="G13" i="12"/>
  <c r="F37" i="12"/>
  <c r="G37" i="12" s="1"/>
  <c r="F34" i="12"/>
  <c r="F26" i="12"/>
  <c r="F27" i="12"/>
  <c r="G27" i="12" s="1"/>
  <c r="F28" i="12"/>
  <c r="G28" i="12" s="1"/>
  <c r="F13" i="12"/>
  <c r="F14" i="12"/>
  <c r="G14" i="12" s="1"/>
  <c r="F15" i="12"/>
  <c r="G15" i="12" s="1"/>
  <c r="F16" i="12"/>
  <c r="F17" i="12"/>
  <c r="F18" i="12"/>
  <c r="G18" i="12" s="1"/>
  <c r="F19" i="12"/>
  <c r="G19" i="12" s="1"/>
  <c r="F20" i="12"/>
  <c r="F21" i="12"/>
  <c r="F22" i="12"/>
  <c r="G22" i="12" s="1"/>
  <c r="F23" i="12"/>
  <c r="G23" i="12" s="1"/>
  <c r="B23" i="12"/>
  <c r="C23" i="12"/>
  <c r="D23" i="12"/>
  <c r="E23" i="12"/>
  <c r="E30" i="12" s="1"/>
  <c r="B10" i="12"/>
  <c r="C10" i="12"/>
  <c r="D10" i="12"/>
  <c r="D30" i="12" s="1"/>
  <c r="F4" i="12"/>
  <c r="F10" i="12" s="1"/>
  <c r="F5" i="12"/>
  <c r="F6" i="12"/>
  <c r="F7" i="12"/>
  <c r="F8" i="12"/>
  <c r="F9" i="12"/>
  <c r="G35" i="20"/>
  <c r="G32" i="20"/>
  <c r="F38" i="20"/>
  <c r="G38" i="20" s="1"/>
  <c r="F35" i="20"/>
  <c r="F32" i="20"/>
  <c r="G37" i="20"/>
  <c r="G27" i="20"/>
  <c r="G22" i="20"/>
  <c r="G16" i="20"/>
  <c r="G13" i="20"/>
  <c r="F37" i="20"/>
  <c r="F34" i="20"/>
  <c r="G34" i="20" s="1"/>
  <c r="E30" i="20"/>
  <c r="F27" i="20"/>
  <c r="F28" i="20"/>
  <c r="G28" i="20" s="1"/>
  <c r="F26" i="20"/>
  <c r="G26" i="20" s="1"/>
  <c r="C23" i="20"/>
  <c r="D23" i="20"/>
  <c r="E23" i="20"/>
  <c r="B23" i="20"/>
  <c r="F14" i="20"/>
  <c r="G14" i="20" s="1"/>
  <c r="F15" i="20"/>
  <c r="G15" i="20" s="1"/>
  <c r="F16" i="20"/>
  <c r="F17" i="20"/>
  <c r="G17" i="20" s="1"/>
  <c r="F18" i="20"/>
  <c r="G18" i="20" s="1"/>
  <c r="F19" i="20"/>
  <c r="G19" i="20" s="1"/>
  <c r="F20" i="20"/>
  <c r="G20" i="20" s="1"/>
  <c r="F21" i="20"/>
  <c r="G21" i="20" s="1"/>
  <c r="F22" i="20"/>
  <c r="F13" i="20"/>
  <c r="C10" i="20"/>
  <c r="D10" i="20"/>
  <c r="D30" i="20" s="1"/>
  <c r="E10" i="20"/>
  <c r="B10" i="20"/>
  <c r="B30" i="20" s="1"/>
  <c r="F5" i="20"/>
  <c r="F6" i="20"/>
  <c r="F7" i="20"/>
  <c r="F8" i="20"/>
  <c r="F9" i="20"/>
  <c r="F4" i="20"/>
  <c r="E10" i="16"/>
  <c r="F4" i="16"/>
  <c r="F5" i="16"/>
  <c r="F6" i="16"/>
  <c r="F8" i="16"/>
  <c r="F9" i="16"/>
  <c r="B10" i="16"/>
  <c r="C10" i="16"/>
  <c r="D10" i="16"/>
  <c r="G10" i="12" l="1"/>
  <c r="F30" i="12"/>
  <c r="G30" i="12" s="1"/>
  <c r="F23" i="22"/>
  <c r="G23" i="22" s="1"/>
  <c r="C30" i="20"/>
  <c r="B30" i="22"/>
  <c r="F30" i="22"/>
  <c r="G30" i="22" s="1"/>
  <c r="F23" i="20"/>
  <c r="G23" i="20" s="1"/>
  <c r="F10" i="20"/>
  <c r="G10" i="20" s="1"/>
  <c r="F10" i="16"/>
  <c r="G10" i="16" s="1"/>
  <c r="F34" i="16"/>
  <c r="G34" i="16" s="1"/>
  <c r="F35" i="16"/>
  <c r="G35" i="16" s="1"/>
  <c r="F37" i="16"/>
  <c r="G37" i="16" s="1"/>
  <c r="F38" i="16"/>
  <c r="G38" i="16" s="1"/>
  <c r="F32" i="16"/>
  <c r="G32" i="16" s="1"/>
  <c r="F27" i="16"/>
  <c r="G27" i="16" s="1"/>
  <c r="F7" i="16"/>
  <c r="F28" i="16"/>
  <c r="G28" i="16" s="1"/>
  <c r="F26" i="16"/>
  <c r="G26" i="16" s="1"/>
  <c r="F14" i="16"/>
  <c r="G14" i="16" s="1"/>
  <c r="F15" i="16"/>
  <c r="G15" i="16" s="1"/>
  <c r="F16" i="16"/>
  <c r="G16" i="16" s="1"/>
  <c r="F17" i="16"/>
  <c r="G17" i="16" s="1"/>
  <c r="F18" i="16"/>
  <c r="G18" i="16" s="1"/>
  <c r="F19" i="16"/>
  <c r="G19" i="16" s="1"/>
  <c r="F20" i="16"/>
  <c r="G20" i="16" s="1"/>
  <c r="F21" i="16"/>
  <c r="G21" i="16" s="1"/>
  <c r="F22" i="16"/>
  <c r="G22" i="16" s="1"/>
  <c r="F13" i="16"/>
  <c r="G13" i="16" s="1"/>
  <c r="F4" i="18"/>
  <c r="E37" i="18"/>
  <c r="D37" i="18"/>
  <c r="B37" i="18"/>
  <c r="H37" i="18" s="1"/>
  <c r="C37" i="18"/>
  <c r="D38" i="18"/>
  <c r="B14" i="18"/>
  <c r="H14" i="18" s="1"/>
  <c r="C14" i="18"/>
  <c r="D14" i="18"/>
  <c r="E14" i="18"/>
  <c r="C34" i="18"/>
  <c r="D34" i="18"/>
  <c r="E34" i="18"/>
  <c r="D35" i="18"/>
  <c r="F35" i="18"/>
  <c r="G35" i="18" s="1"/>
  <c r="D32" i="18"/>
  <c r="C26" i="18"/>
  <c r="D26" i="18"/>
  <c r="E26" i="18"/>
  <c r="C27" i="18"/>
  <c r="D27" i="18"/>
  <c r="E27" i="18"/>
  <c r="C7" i="18"/>
  <c r="D7" i="18"/>
  <c r="E7" i="18"/>
  <c r="C28" i="18"/>
  <c r="D28" i="18"/>
  <c r="E28" i="18"/>
  <c r="C13" i="18"/>
  <c r="D13" i="18"/>
  <c r="E13" i="18"/>
  <c r="C15" i="18"/>
  <c r="D15" i="18"/>
  <c r="E15" i="18"/>
  <c r="C16" i="18"/>
  <c r="D16" i="18"/>
  <c r="E16" i="18"/>
  <c r="C17" i="18"/>
  <c r="D17" i="18"/>
  <c r="E17" i="18"/>
  <c r="C18" i="18"/>
  <c r="D18" i="18"/>
  <c r="E18" i="18"/>
  <c r="C19" i="18"/>
  <c r="D19" i="18"/>
  <c r="E19" i="18"/>
  <c r="C20" i="18"/>
  <c r="D20" i="18"/>
  <c r="E20" i="18"/>
  <c r="F20" i="18"/>
  <c r="G20" i="18" s="1"/>
  <c r="C21" i="18"/>
  <c r="D21" i="18"/>
  <c r="E21" i="18"/>
  <c r="C22" i="18"/>
  <c r="D22" i="18"/>
  <c r="E22" i="18"/>
  <c r="B13" i="18"/>
  <c r="H13" i="18" s="1"/>
  <c r="B15" i="18"/>
  <c r="H15" i="18" s="1"/>
  <c r="B16" i="18"/>
  <c r="H16" i="18" s="1"/>
  <c r="B17" i="18"/>
  <c r="H17" i="18" s="1"/>
  <c r="B18" i="18"/>
  <c r="H18" i="18" s="1"/>
  <c r="B19" i="18"/>
  <c r="H19" i="18" s="1"/>
  <c r="B20" i="18"/>
  <c r="H20" i="18" s="1"/>
  <c r="B21" i="18"/>
  <c r="H21" i="18" s="1"/>
  <c r="B22" i="18"/>
  <c r="H22" i="18" s="1"/>
  <c r="B26" i="18"/>
  <c r="H26" i="18" s="1"/>
  <c r="B27" i="18"/>
  <c r="H27" i="18" s="1"/>
  <c r="B7" i="18"/>
  <c r="H7" i="18" s="1"/>
  <c r="B28" i="18"/>
  <c r="H28" i="18" s="1"/>
  <c r="B34" i="18"/>
  <c r="H34" i="18" s="1"/>
  <c r="F6" i="18"/>
  <c r="E5" i="18"/>
  <c r="E6" i="18"/>
  <c r="E8" i="18"/>
  <c r="E9" i="18"/>
  <c r="D5" i="18"/>
  <c r="D6" i="18"/>
  <c r="D8" i="18"/>
  <c r="D9" i="18"/>
  <c r="C5" i="18"/>
  <c r="C6" i="18"/>
  <c r="C8" i="18"/>
  <c r="C9" i="18"/>
  <c r="B5" i="18"/>
  <c r="H5" i="18" s="1"/>
  <c r="B6" i="18"/>
  <c r="H6" i="18" s="1"/>
  <c r="B8" i="18"/>
  <c r="H8" i="18" s="1"/>
  <c r="B9" i="18"/>
  <c r="C4" i="18"/>
  <c r="D4" i="18"/>
  <c r="E4" i="18"/>
  <c r="B4" i="18"/>
  <c r="H4" i="18" s="1"/>
  <c r="E23" i="16"/>
  <c r="D23" i="16"/>
  <c r="C23" i="16"/>
  <c r="B23" i="16"/>
  <c r="F30" i="20" l="1"/>
  <c r="G30" i="20" s="1"/>
  <c r="F27" i="18"/>
  <c r="G27" i="18" s="1"/>
  <c r="F16" i="18"/>
  <c r="G16" i="18" s="1"/>
  <c r="F9" i="18"/>
  <c r="F8" i="18"/>
  <c r="F5" i="18"/>
  <c r="F34" i="18"/>
  <c r="G34" i="18" s="1"/>
  <c r="F38" i="18"/>
  <c r="G38" i="18" s="1"/>
  <c r="F37" i="18"/>
  <c r="G37" i="18" s="1"/>
  <c r="F13" i="18"/>
  <c r="G13" i="18" s="1"/>
  <c r="F22" i="18"/>
  <c r="G22" i="18" s="1"/>
  <c r="F18" i="18"/>
  <c r="G18" i="18" s="1"/>
  <c r="F32" i="18"/>
  <c r="G32" i="18" s="1"/>
  <c r="F28" i="18"/>
  <c r="G28" i="18" s="1"/>
  <c r="F7" i="18"/>
  <c r="F26" i="18"/>
  <c r="G26" i="18" s="1"/>
  <c r="F14" i="18"/>
  <c r="G14" i="18" s="1"/>
  <c r="F21" i="18"/>
  <c r="G21" i="18" s="1"/>
  <c r="F19" i="18"/>
  <c r="G19" i="18" s="1"/>
  <c r="F17" i="18"/>
  <c r="G17" i="18" s="1"/>
  <c r="F15" i="18"/>
  <c r="G15" i="18" s="1"/>
  <c r="E30" i="16"/>
  <c r="C30" i="16"/>
  <c r="B30" i="16"/>
  <c r="D30" i="16"/>
  <c r="E10" i="18"/>
  <c r="C10" i="18"/>
  <c r="F23" i="16"/>
  <c r="G23" i="16" s="1"/>
  <c r="D23" i="18"/>
  <c r="C23" i="18"/>
  <c r="E23" i="18"/>
  <c r="B23" i="18"/>
  <c r="H23" i="18" s="1"/>
  <c r="B10" i="18"/>
  <c r="H10" i="18" s="1"/>
  <c r="D10" i="18"/>
  <c r="F23" i="18" l="1"/>
  <c r="G23" i="18" s="1"/>
  <c r="F30" i="16"/>
  <c r="G30" i="16" s="1"/>
  <c r="E30" i="18"/>
  <c r="D30" i="18"/>
  <c r="C30" i="18"/>
  <c r="B30" i="18"/>
  <c r="H30" i="18" s="1"/>
  <c r="F10" i="18"/>
  <c r="G10" i="18" s="1"/>
  <c r="F30" i="18" l="1"/>
  <c r="G30" i="18" s="1"/>
</calcChain>
</file>

<file path=xl/comments1.xml><?xml version="1.0" encoding="utf-8"?>
<comments xmlns="http://schemas.openxmlformats.org/spreadsheetml/2006/main">
  <authors>
    <author xml:space="preserve">Thom </author>
  </authors>
  <commentList>
    <comment ref="H4" authorId="0">
      <text>
        <r>
          <rPr>
            <b/>
            <sz val="9"/>
            <color indexed="81"/>
            <rFont val="Tahoma"/>
            <family val="2"/>
          </rPr>
          <t>Thom :</t>
        </r>
        <r>
          <rPr>
            <sz val="9"/>
            <color indexed="81"/>
            <rFont val="Tahoma"/>
            <family val="2"/>
          </rPr>
          <t xml:space="preserve">
includes reference circ from 12/13 now included in suzz circ stats for 13/14</t>
        </r>
      </text>
    </comment>
    <comment ref="G10" authorId="0">
      <text>
        <r>
          <rPr>
            <b/>
            <sz val="9"/>
            <color indexed="81"/>
            <rFont val="Tahoma"/>
            <family val="2"/>
          </rPr>
          <t>Thom :</t>
        </r>
        <r>
          <rPr>
            <sz val="9"/>
            <color indexed="81"/>
            <rFont val="Tahoma"/>
            <family val="2"/>
          </rPr>
          <t xml:space="preserve">
Includes media stats from last year</t>
        </r>
      </text>
    </comment>
    <comment ref="H10" authorId="0">
      <text>
        <r>
          <rPr>
            <b/>
            <sz val="9"/>
            <color indexed="81"/>
            <rFont val="Tahoma"/>
            <family val="2"/>
          </rPr>
          <t>Thom :</t>
        </r>
        <r>
          <rPr>
            <sz val="9"/>
            <color indexed="81"/>
            <rFont val="Tahoma"/>
            <family val="2"/>
          </rPr>
          <t xml:space="preserve">
includes Media stats from 12/13</t>
        </r>
      </text>
    </comment>
  </commentList>
</comments>
</file>

<file path=xl/sharedStrings.xml><?xml version="1.0" encoding="utf-8"?>
<sst xmlns="http://schemas.openxmlformats.org/spreadsheetml/2006/main" count="194" uniqueCount="49">
  <si>
    <t>Unit</t>
  </si>
  <si>
    <t>Initial Circ</t>
  </si>
  <si>
    <t>Renewals</t>
  </si>
  <si>
    <t>Reserves</t>
  </si>
  <si>
    <t>In Library use</t>
  </si>
  <si>
    <t xml:space="preserve">   Microforms-Newspapers</t>
  </si>
  <si>
    <t xml:space="preserve">   Art</t>
  </si>
  <si>
    <t xml:space="preserve">   Drama</t>
  </si>
  <si>
    <t xml:space="preserve">   Music</t>
  </si>
  <si>
    <t xml:space="preserve">   Engineering</t>
  </si>
  <si>
    <t xml:space="preserve">   Friday Harbor</t>
  </si>
  <si>
    <t xml:space="preserve">   Math. Research</t>
  </si>
  <si>
    <t>SEATTLE TOTAL</t>
  </si>
  <si>
    <t xml:space="preserve">Seattle Electronic Reserves </t>
  </si>
  <si>
    <t>Bothell/CCC</t>
  </si>
  <si>
    <t>Bothell Electronic Reserves</t>
  </si>
  <si>
    <t>Tacoma</t>
  </si>
  <si>
    <t>Tacoma Electronic Reserves</t>
  </si>
  <si>
    <t>Total This Quarter</t>
  </si>
  <si>
    <t xml:space="preserve">   Maps</t>
  </si>
  <si>
    <t xml:space="preserve">   Music Listening Center</t>
  </si>
  <si>
    <t xml:space="preserve">   Health Sciences</t>
  </si>
  <si>
    <t xml:space="preserve">   Foster Business</t>
  </si>
  <si>
    <t>BRANCH TOTAL</t>
  </si>
  <si>
    <t xml:space="preserve">   Physics-Astronomy</t>
  </si>
  <si>
    <t xml:space="preserve">   Odegaard Undergraduate</t>
  </si>
  <si>
    <t xml:space="preserve">   Media Center</t>
  </si>
  <si>
    <t xml:space="preserve">   East Asia</t>
  </si>
  <si>
    <t>SUZZALLO/ALLEN TOTAL</t>
  </si>
  <si>
    <t xml:space="preserve">   Circulation</t>
  </si>
  <si>
    <t xml:space="preserve">   Government Publications</t>
  </si>
  <si>
    <t xml:space="preserve">   Special Collections</t>
  </si>
  <si>
    <t>Suzzallo/Allen Units</t>
  </si>
  <si>
    <t xml:space="preserve">Branch Units </t>
  </si>
  <si>
    <t>Other Units</t>
  </si>
  <si>
    <t xml:space="preserve">   Built Environments</t>
  </si>
  <si>
    <t xml:space="preserve">   Built Environments </t>
  </si>
  <si>
    <t xml:space="preserve">   </t>
  </si>
  <si>
    <t>Total This Year</t>
  </si>
  <si>
    <t xml:space="preserve"> </t>
  </si>
  <si>
    <t>Change from. 12/13</t>
  </si>
  <si>
    <t>Change from 12/13</t>
  </si>
  <si>
    <t xml:space="preserve">    </t>
  </si>
  <si>
    <t xml:space="preserve">   Suzz Allen In-Lib Use</t>
  </si>
  <si>
    <t xml:space="preserve">   Suzz Allen In-lib Use</t>
  </si>
  <si>
    <t xml:space="preserve">   Suzzallo Allen in-Lib Use</t>
  </si>
  <si>
    <t xml:space="preserve">   Suzzallo-Allen In-Lib Use</t>
  </si>
  <si>
    <t xml:space="preserve">   Suzzallo Allen In-Lib Use</t>
  </si>
  <si>
    <t>Initial Circ. Change from 12/13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</si>
</sst>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sz val="10"/>
      <name val="Arial"/>
      <family val="2"/>
    </font>
    <font>
      <b/>
      <sz val="11"/>
      <name val="Arial"/>
      <family val="2"/>
    </font>
    <font>
      <sz val="10"/>
      <color indexed="63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465926084170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1" xfId="0" applyNumberFormat="1" applyFont="1" applyFill="1" applyBorder="1" applyProtection="1"/>
    <xf numFmtId="9" fontId="1" fillId="0" borderId="1" xfId="0" applyNumberFormat="1" applyFont="1" applyFill="1" applyBorder="1" applyProtection="1"/>
    <xf numFmtId="0" fontId="1" fillId="2" borderId="1" xfId="0" applyNumberFormat="1" applyFont="1" applyFill="1" applyBorder="1" applyProtection="1"/>
    <xf numFmtId="9" fontId="1" fillId="2" borderId="1" xfId="0" applyNumberFormat="1" applyFont="1" applyFill="1" applyBorder="1" applyProtection="1"/>
    <xf numFmtId="0" fontId="0" fillId="2" borderId="0" xfId="0" applyFill="1"/>
    <xf numFmtId="0" fontId="1" fillId="2" borderId="2" xfId="0" applyNumberFormat="1" applyFont="1" applyFill="1" applyBorder="1" applyProtection="1"/>
    <xf numFmtId="0" fontId="2" fillId="0" borderId="1" xfId="0" applyFont="1" applyBorder="1" applyAlignment="1">
      <alignment horizontal="center"/>
    </xf>
    <xf numFmtId="0" fontId="2" fillId="0" borderId="1" xfId="0" applyNumberFormat="1" applyFont="1" applyBorder="1" applyAlignment="1" applyProtection="1">
      <alignment horizontal="center" wrapText="1"/>
      <protection locked="0"/>
    </xf>
    <xf numFmtId="0" fontId="2" fillId="0" borderId="1" xfId="0" applyNumberFormat="1" applyFont="1" applyFill="1" applyBorder="1" applyAlignment="1" applyProtection="1">
      <alignment horizontal="center" wrapText="1"/>
      <protection locked="0"/>
    </xf>
    <xf numFmtId="0" fontId="0" fillId="0" borderId="3" xfId="0" applyBorder="1" applyAlignment="1"/>
    <xf numFmtId="0" fontId="1" fillId="2" borderId="2" xfId="0" applyNumberFormat="1" applyFont="1" applyFill="1" applyBorder="1" applyAlignment="1" applyProtection="1">
      <alignment horizontal="left"/>
    </xf>
    <xf numFmtId="0" fontId="1" fillId="0" borderId="1" xfId="0" applyNumberFormat="1" applyFont="1" applyBorder="1" applyProtection="1"/>
    <xf numFmtId="0" fontId="3" fillId="0" borderId="1" xfId="0" applyNumberFormat="1" applyFont="1" applyBorder="1" applyProtection="1"/>
    <xf numFmtId="0" fontId="1" fillId="0" borderId="1" xfId="0" applyNumberFormat="1" applyFont="1" applyBorder="1" applyAlignment="1" applyProtection="1">
      <alignment horizontal="left"/>
    </xf>
    <xf numFmtId="0" fontId="1" fillId="0" borderId="1" xfId="0" applyNumberFormat="1" applyFont="1" applyFill="1" applyBorder="1" applyAlignment="1" applyProtection="1">
      <alignment horizontal="left"/>
    </xf>
    <xf numFmtId="0" fontId="1" fillId="2" borderId="1" xfId="0" applyNumberFormat="1" applyFont="1" applyFill="1" applyBorder="1" applyAlignment="1" applyProtection="1">
      <alignment horizontal="left"/>
    </xf>
    <xf numFmtId="0" fontId="1" fillId="0" borderId="1" xfId="0" applyFont="1" applyBorder="1" applyProtection="1"/>
    <xf numFmtId="0" fontId="0" fillId="0" borderId="0" xfId="0" applyFill="1"/>
    <xf numFmtId="0" fontId="1" fillId="3" borderId="2" xfId="0" applyNumberFormat="1" applyFont="1" applyFill="1" applyBorder="1" applyProtection="1"/>
    <xf numFmtId="0" fontId="1" fillId="4" borderId="1" xfId="0" applyNumberFormat="1" applyFont="1" applyFill="1" applyBorder="1" applyProtection="1"/>
    <xf numFmtId="9" fontId="1" fillId="5" borderId="1" xfId="0" applyNumberFormat="1" applyFont="1" applyFill="1" applyBorder="1" applyProtection="1"/>
    <xf numFmtId="9" fontId="1" fillId="4" borderId="2" xfId="0" applyNumberFormat="1" applyFont="1" applyFill="1" applyBorder="1" applyProtection="1"/>
    <xf numFmtId="9" fontId="1" fillId="5" borderId="2" xfId="0" applyNumberFormat="1" applyFont="1" applyFill="1" applyBorder="1" applyProtection="1"/>
    <xf numFmtId="9" fontId="1" fillId="4" borderId="1" xfId="0" applyNumberFormat="1" applyFont="1" applyFill="1" applyBorder="1" applyProtection="1"/>
    <xf numFmtId="0" fontId="1" fillId="4" borderId="1" xfId="0" applyNumberFormat="1" applyFont="1" applyFill="1" applyBorder="1" applyAlignment="1" applyProtection="1">
      <alignment horizontal="left"/>
    </xf>
    <xf numFmtId="0" fontId="0" fillId="4" borderId="0" xfId="0" applyFill="1"/>
    <xf numFmtId="0" fontId="1" fillId="5" borderId="2" xfId="0" applyNumberFormat="1" applyFont="1" applyFill="1" applyBorder="1" applyProtection="1"/>
    <xf numFmtId="0" fontId="2" fillId="0" borderId="2" xfId="0" applyNumberFormat="1" applyFont="1" applyBorder="1" applyAlignment="1" applyProtection="1">
      <alignment horizontal="center" wrapText="1"/>
      <protection locked="0"/>
    </xf>
    <xf numFmtId="0" fontId="0" fillId="0" borderId="0" xfId="0" applyBorder="1" applyAlignment="1"/>
    <xf numFmtId="0" fontId="1" fillId="0" borderId="1" xfId="0" applyFont="1" applyBorder="1" applyAlignment="1">
      <alignment horizontal="left"/>
    </xf>
    <xf numFmtId="0" fontId="0" fillId="0" borderId="1" xfId="0" applyBorder="1"/>
    <xf numFmtId="9" fontId="3" fillId="0" borderId="1" xfId="0" applyNumberFormat="1" applyFont="1" applyBorder="1" applyProtection="1"/>
    <xf numFmtId="0" fontId="1" fillId="5" borderId="2" xfId="0" applyNumberFormat="1" applyFont="1" applyFill="1" applyBorder="1" applyAlignment="1" applyProtection="1">
      <alignment horizontal="left"/>
    </xf>
    <xf numFmtId="0" fontId="3" fillId="5" borderId="1" xfId="0" applyNumberFormat="1" applyFont="1" applyFill="1" applyBorder="1" applyProtection="1"/>
    <xf numFmtId="9" fontId="3" fillId="5" borderId="1" xfId="0" applyNumberFormat="1" applyFont="1" applyFill="1" applyBorder="1" applyProtection="1"/>
    <xf numFmtId="0" fontId="1" fillId="5" borderId="1" xfId="0" applyNumberFormat="1" applyFont="1" applyFill="1" applyBorder="1" applyAlignment="1" applyProtection="1">
      <alignment horizontal="left"/>
    </xf>
    <xf numFmtId="0" fontId="1" fillId="5" borderId="1" xfId="0" applyNumberFormat="1" applyFont="1" applyFill="1" applyBorder="1" applyProtection="1"/>
    <xf numFmtId="0" fontId="1" fillId="0" borderId="0" xfId="0" applyNumberFormat="1" applyFont="1" applyBorder="1" applyProtection="1"/>
    <xf numFmtId="0" fontId="1" fillId="0" borderId="0" xfId="0" applyFont="1" applyBorder="1" applyProtection="1"/>
    <xf numFmtId="0" fontId="1" fillId="4" borderId="0" xfId="0" applyNumberFormat="1" applyFont="1" applyFill="1" applyBorder="1" applyProtection="1"/>
    <xf numFmtId="9" fontId="1" fillId="4" borderId="0" xfId="0" applyNumberFormat="1" applyFont="1" applyFill="1" applyBorder="1" applyProtection="1"/>
    <xf numFmtId="0" fontId="1" fillId="0" borderId="0" xfId="0" applyFont="1"/>
    <xf numFmtId="0" fontId="1" fillId="0" borderId="0" xfId="0" applyFont="1" applyFill="1"/>
    <xf numFmtId="1" fontId="1" fillId="2" borderId="2" xfId="0" applyNumberFormat="1" applyFont="1" applyFill="1" applyBorder="1" applyProtection="1"/>
    <xf numFmtId="1" fontId="1" fillId="0" borderId="1" xfId="0" applyNumberFormat="1" applyFont="1" applyBorder="1" applyAlignment="1" applyProtection="1">
      <alignment horizontal="right" vertical="center" wrapText="1"/>
      <protection locked="0"/>
    </xf>
    <xf numFmtId="0" fontId="1" fillId="0" borderId="1" xfId="0" applyFont="1" applyBorder="1" applyAlignment="1">
      <alignment horizontal="left" vertical="center"/>
    </xf>
    <xf numFmtId="0" fontId="1" fillId="0" borderId="1" xfId="0" applyNumberFormat="1" applyFont="1" applyBorder="1" applyAlignment="1" applyProtection="1">
      <alignment horizontal="right" vertical="center" wrapText="1"/>
      <protection locked="0"/>
    </xf>
    <xf numFmtId="0" fontId="1" fillId="0" borderId="2" xfId="0" applyNumberFormat="1" applyFont="1" applyBorder="1" applyAlignment="1" applyProtection="1">
      <alignment horizontal="right" vertical="center" wrapText="1"/>
      <protection locked="0"/>
    </xf>
    <xf numFmtId="0" fontId="5" fillId="0" borderId="2" xfId="0" applyNumberFormat="1" applyFont="1" applyBorder="1" applyAlignment="1" applyProtection="1">
      <alignment horizontal="right" vertical="center" wrapText="1"/>
      <protection locked="0"/>
    </xf>
    <xf numFmtId="9" fontId="1" fillId="4" borderId="2" xfId="0" applyNumberFormat="1" applyFont="1" applyFill="1" applyBorder="1" applyAlignment="1" applyProtection="1">
      <alignment horizontal="right" vertical="center"/>
    </xf>
    <xf numFmtId="9" fontId="1" fillId="4" borderId="1" xfId="0" applyNumberFormat="1" applyFont="1" applyFill="1" applyBorder="1" applyAlignment="1" applyProtection="1">
      <alignment horizontal="right" vertical="center"/>
    </xf>
    <xf numFmtId="0" fontId="1" fillId="0" borderId="3" xfId="0" applyFont="1" applyBorder="1" applyAlignment="1"/>
    <xf numFmtId="0" fontId="0" fillId="0" borderId="1" xfId="0" applyBorder="1" applyAlignment="1"/>
    <xf numFmtId="9" fontId="0" fillId="0" borderId="1" xfId="0" applyNumberFormat="1" applyBorder="1"/>
    <xf numFmtId="9" fontId="1" fillId="0" borderId="1" xfId="0" applyNumberFormat="1" applyFont="1" applyBorder="1"/>
    <xf numFmtId="0" fontId="0" fillId="0" borderId="1" xfId="0" applyFill="1" applyBorder="1"/>
    <xf numFmtId="9" fontId="0" fillId="0" borderId="1" xfId="0" applyNumberFormat="1" applyFill="1" applyBorder="1"/>
    <xf numFmtId="9" fontId="0" fillId="5" borderId="1" xfId="0" applyNumberFormat="1" applyFill="1" applyBorder="1"/>
    <xf numFmtId="0" fontId="2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0"/>
  <sheetViews>
    <sheetView tabSelected="1" view="pageLayout" topLeftCell="A2" zoomScaleNormal="100" workbookViewId="0">
      <selection activeCell="B44" sqref="B44"/>
    </sheetView>
  </sheetViews>
  <sheetFormatPr defaultRowHeight="12.75" x14ac:dyDescent="0.2"/>
  <cols>
    <col min="1" max="1" width="26.5703125" customWidth="1"/>
    <col min="2" max="2" width="14.85546875" customWidth="1"/>
    <col min="3" max="3" width="16.42578125" customWidth="1"/>
    <col min="4" max="4" width="13.140625" customWidth="1"/>
    <col min="5" max="5" width="12.7109375" customWidth="1"/>
    <col min="6" max="6" width="14.140625" customWidth="1"/>
    <col min="7" max="7" width="14.85546875" customWidth="1"/>
  </cols>
  <sheetData>
    <row r="1" spans="1:14" s="10" customFormat="1" ht="32.25" customHeight="1" x14ac:dyDescent="0.25">
      <c r="A1" s="7" t="s">
        <v>0</v>
      </c>
      <c r="B1" s="8" t="s">
        <v>1</v>
      </c>
      <c r="C1" s="9" t="s">
        <v>2</v>
      </c>
      <c r="D1" s="8" t="s">
        <v>3</v>
      </c>
      <c r="E1" s="8" t="s">
        <v>4</v>
      </c>
      <c r="F1" s="8" t="s">
        <v>18</v>
      </c>
      <c r="G1" s="8" t="s">
        <v>40</v>
      </c>
    </row>
    <row r="2" spans="1:14" s="29" customFormat="1" ht="12.75" customHeight="1" x14ac:dyDescent="0.25">
      <c r="A2" s="30" t="s">
        <v>32</v>
      </c>
      <c r="B2" s="8"/>
      <c r="C2" s="9"/>
      <c r="D2" s="8"/>
      <c r="E2" s="8"/>
      <c r="F2" s="28"/>
      <c r="G2" s="28"/>
    </row>
    <row r="3" spans="1:14" s="29" customFormat="1" ht="12.75" customHeight="1" x14ac:dyDescent="0.25">
      <c r="A3" s="46" t="s">
        <v>47</v>
      </c>
      <c r="B3" s="8"/>
      <c r="C3" s="9"/>
      <c r="D3" s="8"/>
      <c r="E3" s="45">
        <v>26266</v>
      </c>
      <c r="F3" s="28"/>
      <c r="G3" s="28"/>
    </row>
    <row r="4" spans="1:14" x14ac:dyDescent="0.2">
      <c r="A4" s="12" t="s">
        <v>29</v>
      </c>
      <c r="B4" s="13">
        <v>38902</v>
      </c>
      <c r="C4" s="13">
        <v>70103</v>
      </c>
      <c r="D4" s="13">
        <v>0</v>
      </c>
      <c r="E4" s="13">
        <v>11661</v>
      </c>
      <c r="F4" s="19">
        <f>SUM(B4:E4)</f>
        <v>120666</v>
      </c>
      <c r="G4" s="22"/>
    </row>
    <row r="5" spans="1:14" x14ac:dyDescent="0.2">
      <c r="A5" s="14" t="s">
        <v>30</v>
      </c>
      <c r="B5" s="13">
        <v>1003</v>
      </c>
      <c r="C5" s="13">
        <v>657</v>
      </c>
      <c r="D5" s="13">
        <v>0</v>
      </c>
      <c r="E5" s="13">
        <v>1230</v>
      </c>
      <c r="F5" s="19">
        <f t="shared" ref="F5:F9" si="0">SUM(B5:E5)</f>
        <v>2890</v>
      </c>
      <c r="G5" s="22"/>
      <c r="H5" s="42" t="s">
        <v>37</v>
      </c>
    </row>
    <row r="6" spans="1:14" x14ac:dyDescent="0.2">
      <c r="A6" s="14" t="s">
        <v>19</v>
      </c>
      <c r="B6" s="13">
        <v>347</v>
      </c>
      <c r="C6" s="13">
        <v>1207</v>
      </c>
      <c r="D6" s="13">
        <v>0</v>
      </c>
      <c r="E6" s="13">
        <v>21</v>
      </c>
      <c r="F6" s="19">
        <f t="shared" si="0"/>
        <v>1575</v>
      </c>
      <c r="G6" s="22"/>
    </row>
    <row r="7" spans="1:14" x14ac:dyDescent="0.2">
      <c r="A7" s="12" t="s">
        <v>26</v>
      </c>
      <c r="B7" s="1">
        <v>6371</v>
      </c>
      <c r="C7" s="1">
        <v>7725</v>
      </c>
      <c r="D7" s="1">
        <v>339</v>
      </c>
      <c r="E7" s="1">
        <v>0</v>
      </c>
      <c r="F7" s="20">
        <f>SUM(B7:E7)</f>
        <v>14435</v>
      </c>
      <c r="G7" s="24"/>
      <c r="H7" s="18"/>
      <c r="I7" s="18"/>
      <c r="J7" s="18"/>
      <c r="K7" s="18"/>
      <c r="L7" s="18"/>
      <c r="M7" s="18"/>
      <c r="N7" s="18"/>
    </row>
    <row r="8" spans="1:14" x14ac:dyDescent="0.2">
      <c r="A8" s="14" t="s">
        <v>5</v>
      </c>
      <c r="B8" s="13">
        <v>621</v>
      </c>
      <c r="C8" s="13">
        <v>0</v>
      </c>
      <c r="D8" s="13">
        <v>562</v>
      </c>
      <c r="E8" s="13">
        <v>3888</v>
      </c>
      <c r="F8" s="19">
        <f t="shared" si="0"/>
        <v>5071</v>
      </c>
      <c r="G8" s="22"/>
    </row>
    <row r="9" spans="1:14" x14ac:dyDescent="0.2">
      <c r="A9" s="14" t="s">
        <v>31</v>
      </c>
      <c r="B9" s="13">
        <v>12</v>
      </c>
      <c r="C9" s="13">
        <v>0</v>
      </c>
      <c r="D9" s="13">
        <v>0</v>
      </c>
      <c r="E9" s="13">
        <v>5757</v>
      </c>
      <c r="F9" s="19">
        <f t="shared" si="0"/>
        <v>5769</v>
      </c>
      <c r="G9" s="22"/>
      <c r="H9" s="18"/>
      <c r="I9" s="18"/>
      <c r="J9" s="18"/>
      <c r="K9" s="18"/>
      <c r="L9" s="18"/>
      <c r="M9" s="18"/>
      <c r="N9" s="18"/>
    </row>
    <row r="10" spans="1:14" s="5" customFormat="1" x14ac:dyDescent="0.2">
      <c r="A10" s="11" t="s">
        <v>28</v>
      </c>
      <c r="B10" s="6">
        <f>SUM(B4:B9)</f>
        <v>47256</v>
      </c>
      <c r="C10" s="6">
        <f>SUM(C4:C9)</f>
        <v>79692</v>
      </c>
      <c r="D10" s="6">
        <f>SUM(D4:D9)</f>
        <v>901</v>
      </c>
      <c r="E10" s="44">
        <f>SUM(E3:E9)</f>
        <v>48823</v>
      </c>
      <c r="F10" s="27">
        <f t="shared" ref="F10" si="1">SUM(B10:E10)</f>
        <v>176672</v>
      </c>
      <c r="G10" s="23">
        <f>F10/247612-1</f>
        <v>-0.28649661567290763</v>
      </c>
      <c r="H10" s="18"/>
      <c r="I10" s="18"/>
      <c r="J10" s="18"/>
      <c r="K10" s="18"/>
      <c r="L10" s="18"/>
      <c r="M10" s="18"/>
      <c r="N10" s="18"/>
    </row>
    <row r="11" spans="1:14" x14ac:dyDescent="0.2">
      <c r="A11" s="14"/>
      <c r="B11" s="12"/>
      <c r="C11" s="1"/>
      <c r="D11" s="12"/>
      <c r="E11" s="12"/>
      <c r="F11" s="1"/>
      <c r="G11" s="2"/>
      <c r="H11" s="18"/>
      <c r="I11" s="18"/>
      <c r="J11" s="18"/>
      <c r="K11" s="18"/>
      <c r="L11" s="18"/>
      <c r="M11" s="18"/>
      <c r="N11" s="18"/>
    </row>
    <row r="12" spans="1:14" x14ac:dyDescent="0.2">
      <c r="A12" s="14" t="s">
        <v>33</v>
      </c>
      <c r="B12" s="12"/>
      <c r="C12" s="1"/>
      <c r="D12" s="12"/>
      <c r="E12" s="12"/>
      <c r="F12" s="1"/>
      <c r="G12" s="2"/>
      <c r="H12" s="18"/>
      <c r="I12" s="18"/>
      <c r="J12" s="18"/>
      <c r="K12" s="18"/>
      <c r="L12" s="18"/>
      <c r="M12" s="18"/>
      <c r="N12" s="18"/>
    </row>
    <row r="13" spans="1:14" x14ac:dyDescent="0.2">
      <c r="A13" s="15" t="s">
        <v>6</v>
      </c>
      <c r="B13" s="1">
        <v>1980</v>
      </c>
      <c r="C13" s="1">
        <v>3054</v>
      </c>
      <c r="D13" s="1">
        <v>104</v>
      </c>
      <c r="E13" s="1">
        <v>1999</v>
      </c>
      <c r="F13" s="20">
        <f>SUM(B13:E13)</f>
        <v>7137</v>
      </c>
      <c r="G13" s="24">
        <f>F13/9801-1</f>
        <v>-0.2718089990817264</v>
      </c>
      <c r="H13" s="18"/>
      <c r="I13" s="18"/>
      <c r="J13" s="18"/>
      <c r="K13" s="18"/>
      <c r="L13" s="18"/>
      <c r="M13" s="18"/>
      <c r="N13" s="18"/>
    </row>
    <row r="14" spans="1:14" x14ac:dyDescent="0.2">
      <c r="A14" s="15" t="s">
        <v>35</v>
      </c>
      <c r="B14" s="1">
        <v>1525</v>
      </c>
      <c r="C14" s="1">
        <v>1705</v>
      </c>
      <c r="D14" s="1">
        <v>21</v>
      </c>
      <c r="E14" s="1">
        <v>1398</v>
      </c>
      <c r="F14" s="20">
        <f t="shared" ref="F14:F22" si="2">SUM(B14:E14)</f>
        <v>4649</v>
      </c>
      <c r="G14" s="24">
        <f>F14/6651-1</f>
        <v>-0.301007367313186</v>
      </c>
      <c r="H14" s="18"/>
      <c r="I14" s="18"/>
      <c r="J14" s="18"/>
      <c r="K14" s="18"/>
      <c r="L14" s="18"/>
      <c r="M14" s="18"/>
      <c r="N14" s="18"/>
    </row>
    <row r="15" spans="1:14" x14ac:dyDescent="0.2">
      <c r="A15" s="15" t="s">
        <v>7</v>
      </c>
      <c r="B15" s="1">
        <v>789</v>
      </c>
      <c r="C15" s="1">
        <v>871</v>
      </c>
      <c r="D15" s="1">
        <v>5</v>
      </c>
      <c r="E15" s="1">
        <v>737</v>
      </c>
      <c r="F15" s="20">
        <f t="shared" si="2"/>
        <v>2402</v>
      </c>
      <c r="G15" s="24">
        <f>F15/4321-1</f>
        <v>-0.44411015968525802</v>
      </c>
      <c r="H15" s="18"/>
      <c r="I15" s="18"/>
      <c r="J15" s="18"/>
      <c r="K15" s="18"/>
      <c r="L15" s="18"/>
      <c r="M15" s="18"/>
      <c r="N15" s="18"/>
    </row>
    <row r="16" spans="1:14" x14ac:dyDescent="0.2">
      <c r="A16" s="15" t="s">
        <v>9</v>
      </c>
      <c r="B16" s="1">
        <v>2254</v>
      </c>
      <c r="C16" s="1">
        <v>2621</v>
      </c>
      <c r="D16" s="1">
        <v>249</v>
      </c>
      <c r="E16" s="1">
        <v>4001</v>
      </c>
      <c r="F16" s="20">
        <f t="shared" si="2"/>
        <v>9125</v>
      </c>
      <c r="G16" s="24">
        <f>F16/9931-1</f>
        <v>-8.1160004027791777E-2</v>
      </c>
      <c r="H16" s="18"/>
      <c r="I16" s="18"/>
      <c r="J16" s="18"/>
      <c r="K16" s="18"/>
      <c r="L16" s="18"/>
      <c r="M16" s="18"/>
      <c r="N16" s="18"/>
    </row>
    <row r="17" spans="1:14" x14ac:dyDescent="0.2">
      <c r="A17" s="14" t="s">
        <v>22</v>
      </c>
      <c r="B17" s="1">
        <v>1091</v>
      </c>
      <c r="C17" s="1">
        <v>853</v>
      </c>
      <c r="D17" s="1">
        <v>542</v>
      </c>
      <c r="E17" s="1">
        <v>2068</v>
      </c>
      <c r="F17" s="20">
        <f t="shared" si="2"/>
        <v>4554</v>
      </c>
      <c r="G17" s="24">
        <f>F17/3841-1</f>
        <v>0.18562874251497008</v>
      </c>
      <c r="H17" s="18"/>
      <c r="I17" s="18"/>
      <c r="J17" s="18"/>
      <c r="K17" s="18"/>
      <c r="L17" s="18"/>
      <c r="M17" s="18"/>
      <c r="N17" s="18"/>
    </row>
    <row r="18" spans="1:14" x14ac:dyDescent="0.2">
      <c r="A18" s="14" t="s">
        <v>10</v>
      </c>
      <c r="B18" s="1">
        <v>177</v>
      </c>
      <c r="C18" s="1">
        <v>0</v>
      </c>
      <c r="D18" s="1">
        <v>0</v>
      </c>
      <c r="E18" s="1">
        <v>129</v>
      </c>
      <c r="F18" s="20">
        <f t="shared" si="2"/>
        <v>306</v>
      </c>
      <c r="G18" s="24">
        <f>F18/487-1</f>
        <v>-0.37166324435318276</v>
      </c>
      <c r="H18" s="18"/>
      <c r="I18" s="18"/>
      <c r="J18" s="18"/>
      <c r="K18" s="18"/>
      <c r="L18" s="18"/>
      <c r="M18" s="18"/>
      <c r="N18" s="18"/>
    </row>
    <row r="19" spans="1:14" x14ac:dyDescent="0.2">
      <c r="A19" s="14" t="s">
        <v>11</v>
      </c>
      <c r="B19" s="1">
        <v>1681</v>
      </c>
      <c r="C19" s="1">
        <v>2112</v>
      </c>
      <c r="D19" s="1">
        <v>69</v>
      </c>
      <c r="E19" s="1">
        <v>1136</v>
      </c>
      <c r="F19" s="20">
        <f t="shared" si="2"/>
        <v>4998</v>
      </c>
      <c r="G19" s="24">
        <f>F19/6984-1</f>
        <v>-0.28436426116838487</v>
      </c>
      <c r="H19" s="18"/>
      <c r="I19" s="18"/>
      <c r="J19" s="18"/>
      <c r="K19" s="18"/>
      <c r="L19" s="18"/>
      <c r="M19" s="18"/>
      <c r="N19" s="18"/>
    </row>
    <row r="20" spans="1:14" x14ac:dyDescent="0.2">
      <c r="A20" s="14" t="s">
        <v>8</v>
      </c>
      <c r="B20" s="1">
        <v>1797</v>
      </c>
      <c r="C20" s="1">
        <v>2047</v>
      </c>
      <c r="D20" s="1">
        <v>12</v>
      </c>
      <c r="E20" s="1">
        <v>1612</v>
      </c>
      <c r="F20" s="20">
        <f t="shared" si="2"/>
        <v>5468</v>
      </c>
      <c r="G20" s="24">
        <f>F20/8374-1</f>
        <v>-0.34702651062813472</v>
      </c>
      <c r="H20" s="18"/>
      <c r="I20" s="18"/>
      <c r="J20" s="18"/>
      <c r="K20" s="18"/>
      <c r="L20" s="18"/>
      <c r="M20" s="18"/>
      <c r="N20" s="18"/>
    </row>
    <row r="21" spans="1:14" x14ac:dyDescent="0.2">
      <c r="A21" s="12" t="s">
        <v>20</v>
      </c>
      <c r="B21" s="1">
        <v>249</v>
      </c>
      <c r="C21" s="1">
        <v>23</v>
      </c>
      <c r="D21" s="1">
        <v>37</v>
      </c>
      <c r="E21" s="1">
        <v>0</v>
      </c>
      <c r="F21" s="20">
        <f t="shared" si="2"/>
        <v>309</v>
      </c>
      <c r="G21" s="24">
        <f>F21/368-1</f>
        <v>-0.16032608695652173</v>
      </c>
      <c r="H21" s="18"/>
      <c r="I21" s="18"/>
      <c r="J21" s="18"/>
      <c r="K21" s="18"/>
      <c r="L21" s="18"/>
      <c r="M21" s="18"/>
      <c r="N21" s="18"/>
    </row>
    <row r="22" spans="1:14" x14ac:dyDescent="0.2">
      <c r="A22" s="12" t="s">
        <v>24</v>
      </c>
      <c r="B22" s="1">
        <v>729</v>
      </c>
      <c r="C22" s="1">
        <v>1178</v>
      </c>
      <c r="D22" s="1">
        <v>125</v>
      </c>
      <c r="E22" s="1">
        <v>646</v>
      </c>
      <c r="F22" s="20">
        <f t="shared" si="2"/>
        <v>2678</v>
      </c>
      <c r="G22" s="24">
        <f>F22/3753-1</f>
        <v>-0.28643751665334394</v>
      </c>
      <c r="H22" s="18"/>
      <c r="I22" s="18"/>
      <c r="J22" s="18"/>
      <c r="K22" s="18"/>
      <c r="L22" s="18"/>
      <c r="M22" s="18"/>
      <c r="N22" s="18"/>
    </row>
    <row r="23" spans="1:14" s="5" customFormat="1" x14ac:dyDescent="0.2">
      <c r="A23" s="16" t="s">
        <v>23</v>
      </c>
      <c r="B23" s="3">
        <f>SUM(B13:B22)</f>
        <v>12272</v>
      </c>
      <c r="C23" s="3">
        <f>SUM(C13:C22)</f>
        <v>14464</v>
      </c>
      <c r="D23" s="3">
        <f>SUM(D13:D22)</f>
        <v>1164</v>
      </c>
      <c r="E23" s="3">
        <f>SUM(E13:E22)</f>
        <v>13726</v>
      </c>
      <c r="F23" s="3">
        <f t="shared" ref="F23" si="3">SUM(B23:E23)</f>
        <v>41626</v>
      </c>
      <c r="G23" s="21">
        <f>F23/54511-1</f>
        <v>-0.23637430977233953</v>
      </c>
      <c r="H23" s="18"/>
      <c r="I23" s="18"/>
      <c r="J23" s="18"/>
      <c r="K23" s="18"/>
      <c r="L23" s="18"/>
      <c r="M23" s="18"/>
      <c r="N23" s="18"/>
    </row>
    <row r="24" spans="1:14" s="26" customFormat="1" x14ac:dyDescent="0.2">
      <c r="A24" s="25"/>
      <c r="B24" s="20"/>
      <c r="C24" s="20"/>
      <c r="D24" s="20"/>
      <c r="E24" s="20"/>
      <c r="F24" s="20"/>
      <c r="G24" s="24"/>
      <c r="H24" s="18"/>
      <c r="I24" s="18"/>
      <c r="J24" s="18"/>
      <c r="K24" s="18"/>
      <c r="L24" s="18"/>
      <c r="M24" s="18"/>
      <c r="N24" s="18"/>
    </row>
    <row r="25" spans="1:14" s="26" customFormat="1" x14ac:dyDescent="0.2">
      <c r="A25" s="25" t="s">
        <v>34</v>
      </c>
      <c r="B25" s="20"/>
      <c r="C25" s="20"/>
      <c r="D25" s="20"/>
      <c r="E25" s="20"/>
      <c r="F25" s="20"/>
      <c r="G25" s="24"/>
      <c r="H25" s="18"/>
      <c r="I25" s="18"/>
      <c r="J25" s="18"/>
      <c r="K25" s="18"/>
      <c r="L25" s="18"/>
      <c r="M25" s="18"/>
      <c r="N25" s="18"/>
    </row>
    <row r="26" spans="1:14" x14ac:dyDescent="0.2">
      <c r="A26" s="12" t="s">
        <v>27</v>
      </c>
      <c r="B26" s="1">
        <v>3912</v>
      </c>
      <c r="C26" s="1">
        <v>6426</v>
      </c>
      <c r="D26" s="1">
        <v>56</v>
      </c>
      <c r="E26" s="1">
        <v>3908</v>
      </c>
      <c r="F26" s="20">
        <f>SUM(B26:E26)</f>
        <v>14302</v>
      </c>
      <c r="G26" s="24">
        <f>F26/20304-1</f>
        <v>-0.29560677698975568</v>
      </c>
      <c r="H26" s="18"/>
      <c r="I26" s="18"/>
      <c r="J26" s="18"/>
      <c r="K26" s="18"/>
      <c r="L26" s="18"/>
      <c r="M26" s="18"/>
      <c r="N26" s="18"/>
    </row>
    <row r="27" spans="1:14" x14ac:dyDescent="0.2">
      <c r="A27" s="12" t="s">
        <v>21</v>
      </c>
      <c r="B27" s="1">
        <v>1517</v>
      </c>
      <c r="C27" s="1">
        <v>2135</v>
      </c>
      <c r="D27" s="1">
        <v>30</v>
      </c>
      <c r="E27" s="1">
        <v>7463</v>
      </c>
      <c r="F27" s="20">
        <f t="shared" ref="F27:F28" si="4">SUM(B27:E27)</f>
        <v>11145</v>
      </c>
      <c r="G27" s="24">
        <f>F27/11638-1</f>
        <v>-4.2361230451967713E-2</v>
      </c>
      <c r="H27" s="18"/>
      <c r="I27" s="18"/>
      <c r="J27" s="18"/>
      <c r="K27" s="18"/>
      <c r="L27" s="18"/>
      <c r="M27" s="18"/>
      <c r="N27" s="18"/>
    </row>
    <row r="28" spans="1:14" x14ac:dyDescent="0.2">
      <c r="A28" s="17" t="s">
        <v>25</v>
      </c>
      <c r="B28" s="1">
        <v>7916</v>
      </c>
      <c r="C28" s="1">
        <v>11745</v>
      </c>
      <c r="D28" s="1">
        <v>3484</v>
      </c>
      <c r="E28" s="1">
        <v>7823</v>
      </c>
      <c r="F28" s="20">
        <f t="shared" si="4"/>
        <v>30968</v>
      </c>
      <c r="G28" s="24">
        <f>F28/30266-1</f>
        <v>2.3194343487741964E-2</v>
      </c>
      <c r="H28" s="18"/>
      <c r="I28" s="18"/>
      <c r="J28" s="18"/>
      <c r="K28" s="18"/>
      <c r="L28" s="18"/>
      <c r="M28" s="18"/>
      <c r="N28" s="18"/>
    </row>
    <row r="29" spans="1:14" x14ac:dyDescent="0.2">
      <c r="A29" s="31"/>
      <c r="B29" s="31"/>
      <c r="C29" s="31"/>
      <c r="D29" s="31"/>
      <c r="E29" s="31"/>
      <c r="F29" s="31"/>
      <c r="G29" s="31"/>
    </row>
    <row r="30" spans="1:14" s="5" customFormat="1" x14ac:dyDescent="0.2">
      <c r="A30" s="3" t="s">
        <v>12</v>
      </c>
      <c r="B30" s="3">
        <f>B10+B23+B27+B28+B7+B26</f>
        <v>79244</v>
      </c>
      <c r="C30" s="3">
        <f>C10+C23+C27+C28+C7+C26</f>
        <v>122187</v>
      </c>
      <c r="D30" s="3">
        <f>D10+D23+D27+D28+D7+D26</f>
        <v>5974</v>
      </c>
      <c r="E30" s="3">
        <f>E10+E23+E27+E28+E7+E26</f>
        <v>81743</v>
      </c>
      <c r="F30" s="3">
        <f>F10+F23+F27+F28+F7+F26</f>
        <v>289148</v>
      </c>
      <c r="G30" s="4">
        <f>F30/364331-1</f>
        <v>-0.2063590526197332</v>
      </c>
      <c r="H30" s="18"/>
      <c r="I30" s="18"/>
      <c r="J30" s="18"/>
      <c r="K30" s="18"/>
      <c r="L30" s="18"/>
      <c r="M30" s="18"/>
      <c r="N30" s="18"/>
    </row>
    <row r="31" spans="1:14" x14ac:dyDescent="0.2">
      <c r="A31" s="12"/>
      <c r="B31" s="1"/>
      <c r="C31" s="1"/>
      <c r="D31" s="1"/>
      <c r="E31" s="1"/>
      <c r="F31" s="20"/>
      <c r="G31" s="24"/>
      <c r="H31" s="18"/>
      <c r="I31" s="18"/>
      <c r="J31" s="18"/>
      <c r="K31" s="18"/>
      <c r="L31" s="18"/>
      <c r="M31" s="18"/>
      <c r="N31" s="18"/>
    </row>
    <row r="32" spans="1:14" x14ac:dyDescent="0.2">
      <c r="A32" s="12" t="s">
        <v>13</v>
      </c>
      <c r="B32" s="17"/>
      <c r="C32" s="17"/>
      <c r="D32" s="17">
        <v>17455</v>
      </c>
      <c r="E32" s="17"/>
      <c r="F32" s="20">
        <f>SUM(B32:E32)</f>
        <v>17455</v>
      </c>
      <c r="G32" s="24">
        <f>F32/24977-1</f>
        <v>-0.30115706449933943</v>
      </c>
      <c r="H32" s="18"/>
      <c r="I32" s="18"/>
      <c r="J32" s="18"/>
      <c r="K32" s="18"/>
      <c r="L32" s="18"/>
      <c r="M32" s="18"/>
      <c r="N32" s="18"/>
    </row>
    <row r="33" spans="1:14" x14ac:dyDescent="0.2">
      <c r="A33" s="12"/>
      <c r="B33" s="17"/>
      <c r="C33" s="17"/>
      <c r="D33" s="17"/>
      <c r="E33" s="17"/>
      <c r="F33" s="20"/>
      <c r="G33" s="24"/>
      <c r="H33" s="18"/>
      <c r="I33" s="18"/>
      <c r="J33" s="18"/>
      <c r="K33" s="18"/>
      <c r="L33" s="18"/>
      <c r="M33" s="18"/>
      <c r="N33" s="18"/>
    </row>
    <row r="34" spans="1:14" x14ac:dyDescent="0.2">
      <c r="A34" s="12" t="s">
        <v>14</v>
      </c>
      <c r="B34" s="17">
        <v>6502</v>
      </c>
      <c r="C34" s="17">
        <v>13039</v>
      </c>
      <c r="D34" s="17">
        <v>1192</v>
      </c>
      <c r="E34" s="17">
        <v>13397</v>
      </c>
      <c r="F34" s="20">
        <f t="shared" ref="F34:F38" si="5">SUM(B34:E34)</f>
        <v>34130</v>
      </c>
      <c r="G34" s="24">
        <f>F34/27848-1</f>
        <v>0.22558172938810683</v>
      </c>
      <c r="H34" s="18"/>
      <c r="I34" s="18"/>
      <c r="J34" s="18"/>
      <c r="K34" s="18"/>
      <c r="L34" s="18"/>
      <c r="M34" s="18"/>
      <c r="N34" s="18"/>
    </row>
    <row r="35" spans="1:14" x14ac:dyDescent="0.2">
      <c r="A35" s="12" t="s">
        <v>15</v>
      </c>
      <c r="B35" s="17"/>
      <c r="C35" s="17"/>
      <c r="D35" s="17">
        <v>24654</v>
      </c>
      <c r="E35" s="17"/>
      <c r="F35" s="20">
        <f t="shared" si="5"/>
        <v>24654</v>
      </c>
      <c r="G35" s="24">
        <f>F35/27916-1</f>
        <v>-0.11685055165496494</v>
      </c>
      <c r="H35" s="18"/>
      <c r="I35" s="18"/>
      <c r="J35" s="18"/>
      <c r="K35" s="18"/>
      <c r="L35" s="18"/>
      <c r="M35" s="18"/>
      <c r="N35" s="18"/>
    </row>
    <row r="36" spans="1:14" x14ac:dyDescent="0.2">
      <c r="A36" s="12"/>
      <c r="B36" s="17"/>
      <c r="C36" s="17"/>
      <c r="D36" s="17"/>
      <c r="E36" s="17"/>
      <c r="F36" s="20"/>
      <c r="G36" s="24"/>
      <c r="H36" s="18"/>
      <c r="I36" s="18"/>
      <c r="J36" s="18"/>
      <c r="K36" s="18"/>
      <c r="L36" s="18"/>
      <c r="M36" s="18"/>
      <c r="N36" s="18"/>
    </row>
    <row r="37" spans="1:14" x14ac:dyDescent="0.2">
      <c r="A37" s="12" t="s">
        <v>16</v>
      </c>
      <c r="B37" s="17">
        <v>5626</v>
      </c>
      <c r="C37" s="17">
        <v>10962</v>
      </c>
      <c r="D37" s="17">
        <v>125</v>
      </c>
      <c r="E37" s="17">
        <v>4538</v>
      </c>
      <c r="F37" s="20">
        <f t="shared" si="5"/>
        <v>21251</v>
      </c>
      <c r="G37" s="24">
        <f>F37/23763-1</f>
        <v>-0.1057105584311745</v>
      </c>
      <c r="H37" s="18"/>
      <c r="I37" s="18"/>
      <c r="J37" s="18"/>
      <c r="K37" s="18"/>
      <c r="L37" s="18"/>
      <c r="M37" s="18"/>
      <c r="N37" s="18"/>
    </row>
    <row r="38" spans="1:14" x14ac:dyDescent="0.2">
      <c r="A38" s="12" t="s">
        <v>17</v>
      </c>
      <c r="B38" s="17"/>
      <c r="C38" s="17"/>
      <c r="D38" s="17">
        <v>8589</v>
      </c>
      <c r="E38" s="17"/>
      <c r="F38" s="20">
        <f t="shared" si="5"/>
        <v>8589</v>
      </c>
      <c r="G38" s="24">
        <f>F38/10697-1</f>
        <v>-0.19706459755071515</v>
      </c>
      <c r="H38" s="18"/>
      <c r="I38" s="18"/>
      <c r="J38" s="18"/>
      <c r="K38" s="18"/>
      <c r="L38" s="18"/>
      <c r="M38" s="18"/>
      <c r="N38" s="18"/>
    </row>
    <row r="39" spans="1:14" x14ac:dyDescent="0.2">
      <c r="A39" s="38"/>
      <c r="B39" s="39"/>
      <c r="C39" s="39"/>
      <c r="D39" s="39"/>
      <c r="E39" s="39"/>
      <c r="F39" s="40"/>
      <c r="G39" s="41"/>
      <c r="H39" s="18"/>
      <c r="I39" s="18"/>
      <c r="J39" s="18"/>
      <c r="K39" s="18"/>
      <c r="L39" s="18"/>
      <c r="M39" s="18"/>
      <c r="N39" s="18"/>
    </row>
    <row r="40" spans="1:14" x14ac:dyDescent="0.2">
      <c r="H40" s="18"/>
      <c r="I40" s="18"/>
      <c r="J40" s="18"/>
      <c r="K40" s="18"/>
      <c r="L40" s="18"/>
      <c r="M40" s="18"/>
      <c r="N40" s="18"/>
    </row>
  </sheetData>
  <sheetProtection password="CC4F" sheet="1" objects="1" scenarios="1"/>
  <pageMargins left="0.7" right="0.7" top="0.75" bottom="0.75" header="0.3" footer="0.3"/>
  <pageSetup scale="70" orientation="landscape" r:id="rId1"/>
  <headerFooter alignWithMargins="0">
    <oddHeader>&amp;L&amp;"Arial,Bold"&amp;14CIRCULATION STATISTICS&amp;C&amp;"Arial,Bold"&amp;14July-September 2013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8"/>
  <sheetViews>
    <sheetView view="pageLayout" zoomScaleNormal="100" workbookViewId="0">
      <selection activeCell="B12" sqref="B12"/>
    </sheetView>
  </sheetViews>
  <sheetFormatPr defaultRowHeight="12.75" x14ac:dyDescent="0.2"/>
  <cols>
    <col min="1" max="1" width="26.5703125" customWidth="1"/>
    <col min="2" max="2" width="14.85546875" customWidth="1"/>
    <col min="3" max="3" width="16.42578125" customWidth="1"/>
    <col min="4" max="4" width="13.140625" customWidth="1"/>
    <col min="5" max="5" width="12.7109375" customWidth="1"/>
    <col min="6" max="6" width="14.140625" customWidth="1"/>
    <col min="7" max="7" width="14.85546875" customWidth="1"/>
  </cols>
  <sheetData>
    <row r="1" spans="1:14" s="10" customFormat="1" ht="32.25" customHeight="1" x14ac:dyDescent="0.25">
      <c r="A1" s="7" t="s">
        <v>0</v>
      </c>
      <c r="B1" s="8" t="s">
        <v>1</v>
      </c>
      <c r="C1" s="9" t="s">
        <v>2</v>
      </c>
      <c r="D1" s="8" t="s">
        <v>3</v>
      </c>
      <c r="E1" s="8" t="s">
        <v>4</v>
      </c>
      <c r="F1" s="8" t="s">
        <v>18</v>
      </c>
      <c r="G1" s="8" t="s">
        <v>41</v>
      </c>
    </row>
    <row r="2" spans="1:14" s="29" customFormat="1" ht="12.75" customHeight="1" x14ac:dyDescent="0.25">
      <c r="A2" s="30" t="s">
        <v>32</v>
      </c>
      <c r="B2" s="8"/>
      <c r="C2" s="9"/>
      <c r="D2" s="8"/>
      <c r="E2" s="8"/>
      <c r="F2" s="28"/>
      <c r="G2" s="28"/>
    </row>
    <row r="3" spans="1:14" s="29" customFormat="1" ht="12.75" customHeight="1" x14ac:dyDescent="0.25">
      <c r="A3" s="30" t="s">
        <v>46</v>
      </c>
      <c r="B3" s="8"/>
      <c r="C3" s="9"/>
      <c r="D3" s="8"/>
      <c r="E3" s="47">
        <v>28425</v>
      </c>
      <c r="F3" s="47">
        <v>28425</v>
      </c>
      <c r="G3" s="28"/>
    </row>
    <row r="4" spans="1:14" x14ac:dyDescent="0.2">
      <c r="A4" s="12" t="s">
        <v>29</v>
      </c>
      <c r="B4" s="13">
        <v>56201</v>
      </c>
      <c r="C4" s="13">
        <v>97937</v>
      </c>
      <c r="D4" s="13">
        <v>0</v>
      </c>
      <c r="E4" s="13">
        <v>9354</v>
      </c>
      <c r="F4" s="19">
        <f>SUM(B4:E4)</f>
        <v>163492</v>
      </c>
      <c r="G4" s="22"/>
    </row>
    <row r="5" spans="1:14" x14ac:dyDescent="0.2">
      <c r="A5" s="14" t="s">
        <v>30</v>
      </c>
      <c r="B5" s="13">
        <v>572</v>
      </c>
      <c r="C5" s="13">
        <v>796</v>
      </c>
      <c r="D5" s="13">
        <v>0</v>
      </c>
      <c r="E5" s="13">
        <v>2330</v>
      </c>
      <c r="F5" s="19">
        <f t="shared" ref="F5:F10" si="0">SUM(B5:E5)</f>
        <v>3698</v>
      </c>
      <c r="G5" s="22"/>
    </row>
    <row r="6" spans="1:14" x14ac:dyDescent="0.2">
      <c r="A6" s="14" t="s">
        <v>19</v>
      </c>
      <c r="B6" s="13">
        <v>167</v>
      </c>
      <c r="C6" s="13">
        <v>176</v>
      </c>
      <c r="D6" s="13">
        <v>0</v>
      </c>
      <c r="E6" s="13">
        <v>41</v>
      </c>
      <c r="F6" s="19">
        <f t="shared" si="0"/>
        <v>384</v>
      </c>
      <c r="G6" s="22"/>
    </row>
    <row r="7" spans="1:14" x14ac:dyDescent="0.2">
      <c r="A7" s="12" t="s">
        <v>26</v>
      </c>
      <c r="B7" s="1">
        <v>7812</v>
      </c>
      <c r="C7" s="1">
        <v>16557</v>
      </c>
      <c r="D7" s="1">
        <v>747</v>
      </c>
      <c r="E7" s="1">
        <v>6</v>
      </c>
      <c r="F7" s="19">
        <f t="shared" si="0"/>
        <v>25122</v>
      </c>
      <c r="G7" s="24"/>
      <c r="H7" s="18"/>
      <c r="I7" s="18"/>
      <c r="J7" s="18"/>
      <c r="K7" s="18"/>
      <c r="L7" s="18"/>
      <c r="M7" s="18"/>
      <c r="N7" s="18"/>
    </row>
    <row r="8" spans="1:14" x14ac:dyDescent="0.2">
      <c r="A8" s="14" t="s">
        <v>5</v>
      </c>
      <c r="B8" s="13">
        <v>439</v>
      </c>
      <c r="C8" s="13">
        <v>0</v>
      </c>
      <c r="D8" s="13">
        <v>86</v>
      </c>
      <c r="E8" s="13">
        <v>5081</v>
      </c>
      <c r="F8" s="19">
        <f t="shared" si="0"/>
        <v>5606</v>
      </c>
      <c r="G8" s="22"/>
    </row>
    <row r="9" spans="1:14" x14ac:dyDescent="0.2">
      <c r="A9" s="14" t="s">
        <v>31</v>
      </c>
      <c r="B9" s="13">
        <v>18</v>
      </c>
      <c r="C9" s="13">
        <v>0</v>
      </c>
      <c r="D9" s="13">
        <v>0</v>
      </c>
      <c r="E9" s="13">
        <v>6235</v>
      </c>
      <c r="F9" s="19">
        <f t="shared" si="0"/>
        <v>6253</v>
      </c>
      <c r="G9" s="22"/>
      <c r="H9" s="18"/>
      <c r="I9" s="18"/>
      <c r="J9" s="18"/>
      <c r="K9" s="18"/>
      <c r="L9" s="18"/>
      <c r="M9" s="18"/>
      <c r="N9" s="18"/>
    </row>
    <row r="10" spans="1:14" s="5" customFormat="1" x14ac:dyDescent="0.2">
      <c r="A10" s="11" t="s">
        <v>28</v>
      </c>
      <c r="B10" s="6">
        <f>SUM(B4:B9)</f>
        <v>65209</v>
      </c>
      <c r="C10" s="6">
        <f>SUM(C4:C9)</f>
        <v>115466</v>
      </c>
      <c r="D10" s="6">
        <f>SUM(D4:D9)</f>
        <v>833</v>
      </c>
      <c r="E10" s="6">
        <f>SUM(E4:E9)</f>
        <v>23047</v>
      </c>
      <c r="F10" s="27">
        <f t="shared" si="0"/>
        <v>204555</v>
      </c>
      <c r="G10" s="23">
        <f>F10/276272-1</f>
        <v>-0.25958837667226498</v>
      </c>
      <c r="H10" s="18"/>
      <c r="I10" s="18"/>
      <c r="J10" s="18"/>
      <c r="K10" s="18"/>
      <c r="L10" s="18"/>
      <c r="M10" s="18"/>
      <c r="N10" s="18"/>
    </row>
    <row r="11" spans="1:14" x14ac:dyDescent="0.2">
      <c r="A11" s="14"/>
      <c r="B11" s="12"/>
      <c r="C11" s="1"/>
      <c r="D11" s="12"/>
      <c r="E11" s="12"/>
      <c r="F11" s="1"/>
      <c r="G11" s="2"/>
      <c r="H11" s="18"/>
      <c r="I11" s="18"/>
      <c r="J11" s="18"/>
      <c r="K11" s="18"/>
      <c r="L11" s="18"/>
      <c r="M11" s="18"/>
      <c r="N11" s="18"/>
    </row>
    <row r="12" spans="1:14" x14ac:dyDescent="0.2">
      <c r="A12" s="14" t="s">
        <v>33</v>
      </c>
      <c r="B12" s="12"/>
      <c r="C12" s="1"/>
      <c r="D12" s="12"/>
      <c r="E12" s="12"/>
      <c r="F12" s="1"/>
      <c r="G12" s="2"/>
      <c r="H12" s="18"/>
      <c r="I12" s="18"/>
      <c r="J12" s="18"/>
      <c r="K12" s="18"/>
      <c r="L12" s="18"/>
      <c r="M12" s="18"/>
      <c r="N12" s="18"/>
    </row>
    <row r="13" spans="1:14" x14ac:dyDescent="0.2">
      <c r="A13" s="15" t="s">
        <v>6</v>
      </c>
      <c r="B13" s="1">
        <v>3501</v>
      </c>
      <c r="C13" s="1">
        <v>6759</v>
      </c>
      <c r="D13" s="1">
        <v>416</v>
      </c>
      <c r="E13" s="1">
        <v>2490</v>
      </c>
      <c r="F13" s="20">
        <f>SUM(B13:E13)</f>
        <v>13166</v>
      </c>
      <c r="G13" s="24">
        <f>F13/15334-1</f>
        <v>-0.14138515716707967</v>
      </c>
      <c r="H13" s="18"/>
      <c r="I13" s="18"/>
      <c r="J13" s="18"/>
      <c r="K13" s="18"/>
      <c r="L13" s="18"/>
      <c r="M13" s="18"/>
      <c r="N13" s="18"/>
    </row>
    <row r="14" spans="1:14" x14ac:dyDescent="0.2">
      <c r="A14" s="15" t="s">
        <v>35</v>
      </c>
      <c r="B14" s="1">
        <v>3182</v>
      </c>
      <c r="C14" s="1">
        <v>2785</v>
      </c>
      <c r="D14" s="1">
        <v>197</v>
      </c>
      <c r="E14" s="1">
        <v>2442</v>
      </c>
      <c r="F14" s="20">
        <f t="shared" ref="F14:F23" si="1">SUM(B14:E14)</f>
        <v>8606</v>
      </c>
      <c r="G14" s="24">
        <f>F14/10797-1</f>
        <v>-0.20292673890895618</v>
      </c>
      <c r="H14" s="18"/>
      <c r="I14" s="18"/>
      <c r="J14" s="18"/>
      <c r="K14" s="18"/>
      <c r="L14" s="18"/>
      <c r="M14" s="18"/>
      <c r="N14" s="18"/>
    </row>
    <row r="15" spans="1:14" x14ac:dyDescent="0.2">
      <c r="A15" s="15" t="s">
        <v>7</v>
      </c>
      <c r="B15" s="1">
        <v>1803</v>
      </c>
      <c r="C15" s="1">
        <v>2505</v>
      </c>
      <c r="D15" s="1">
        <v>49</v>
      </c>
      <c r="E15" s="1">
        <v>1101</v>
      </c>
      <c r="F15" s="20">
        <f t="shared" si="1"/>
        <v>5458</v>
      </c>
      <c r="G15" s="24">
        <f>F15/5627-1</f>
        <v>-3.0033765772169874E-2</v>
      </c>
      <c r="H15" s="18"/>
      <c r="I15" s="43" t="s">
        <v>42</v>
      </c>
      <c r="J15" s="18"/>
      <c r="K15" s="18"/>
      <c r="L15" s="18"/>
      <c r="M15" s="18"/>
      <c r="N15" s="18"/>
    </row>
    <row r="16" spans="1:14" x14ac:dyDescent="0.2">
      <c r="A16" s="15" t="s">
        <v>9</v>
      </c>
      <c r="B16" s="1">
        <v>3002</v>
      </c>
      <c r="C16" s="1">
        <v>3170</v>
      </c>
      <c r="D16" s="1">
        <v>506</v>
      </c>
      <c r="E16" s="1">
        <v>2341</v>
      </c>
      <c r="F16" s="20">
        <f t="shared" si="1"/>
        <v>9019</v>
      </c>
      <c r="G16" s="24">
        <f>F16/11466-1</f>
        <v>-0.21341357055642773</v>
      </c>
      <c r="H16" s="18"/>
      <c r="I16" s="18"/>
      <c r="J16" s="18"/>
      <c r="K16" s="18"/>
      <c r="L16" s="18"/>
      <c r="M16" s="18"/>
      <c r="N16" s="18"/>
    </row>
    <row r="17" spans="1:14" x14ac:dyDescent="0.2">
      <c r="A17" s="14" t="s">
        <v>22</v>
      </c>
      <c r="B17" s="1">
        <v>4796</v>
      </c>
      <c r="C17" s="1">
        <v>1096</v>
      </c>
      <c r="D17" s="1">
        <v>2282</v>
      </c>
      <c r="E17" s="1">
        <v>2368</v>
      </c>
      <c r="F17" s="20">
        <f t="shared" si="1"/>
        <v>10542</v>
      </c>
      <c r="G17" s="24">
        <f>F17/9852-1</f>
        <v>7.0036540803897651E-2</v>
      </c>
      <c r="H17" s="18"/>
      <c r="I17" s="18"/>
      <c r="J17" s="18"/>
      <c r="K17" s="18"/>
      <c r="L17" s="18"/>
      <c r="M17" s="18"/>
      <c r="N17" s="18"/>
    </row>
    <row r="18" spans="1:14" x14ac:dyDescent="0.2">
      <c r="A18" s="14" t="s">
        <v>10</v>
      </c>
      <c r="B18" s="1">
        <v>65</v>
      </c>
      <c r="C18" s="1">
        <v>0</v>
      </c>
      <c r="D18" s="1">
        <v>0</v>
      </c>
      <c r="E18" s="1">
        <v>78</v>
      </c>
      <c r="F18" s="20">
        <f t="shared" si="1"/>
        <v>143</v>
      </c>
      <c r="G18" s="24">
        <f>F18/107-1</f>
        <v>0.33644859813084116</v>
      </c>
      <c r="H18" s="18"/>
      <c r="I18" s="18"/>
      <c r="J18" s="18"/>
      <c r="K18" s="18"/>
      <c r="L18" s="18"/>
      <c r="M18" s="18"/>
      <c r="N18" s="18"/>
    </row>
    <row r="19" spans="1:14" x14ac:dyDescent="0.2">
      <c r="A19" s="14" t="s">
        <v>11</v>
      </c>
      <c r="B19" s="1">
        <v>1767</v>
      </c>
      <c r="C19" s="1">
        <v>2392</v>
      </c>
      <c r="D19" s="1">
        <v>132</v>
      </c>
      <c r="E19" s="1">
        <v>1460</v>
      </c>
      <c r="F19" s="20">
        <f t="shared" si="1"/>
        <v>5751</v>
      </c>
      <c r="G19" s="24">
        <f>F19/7331-1</f>
        <v>-0.21552312099304327</v>
      </c>
      <c r="H19" s="18"/>
      <c r="I19" s="18"/>
      <c r="J19" s="18"/>
      <c r="K19" s="18"/>
      <c r="L19" s="18"/>
      <c r="M19" s="18"/>
      <c r="N19" s="18"/>
    </row>
    <row r="20" spans="1:14" x14ac:dyDescent="0.2">
      <c r="A20" s="14" t="s">
        <v>8</v>
      </c>
      <c r="B20" s="1">
        <v>2844</v>
      </c>
      <c r="C20" s="1">
        <v>4278</v>
      </c>
      <c r="D20" s="1">
        <v>64</v>
      </c>
      <c r="E20" s="1">
        <v>3067</v>
      </c>
      <c r="F20" s="20">
        <f t="shared" si="1"/>
        <v>10253</v>
      </c>
      <c r="G20" s="24">
        <f>F20/10907-1</f>
        <v>-5.9961492619418744E-2</v>
      </c>
      <c r="H20" s="18"/>
      <c r="I20" s="18"/>
      <c r="J20" s="18"/>
      <c r="K20" s="18"/>
      <c r="L20" s="18"/>
      <c r="M20" s="18"/>
      <c r="N20" s="18"/>
    </row>
    <row r="21" spans="1:14" x14ac:dyDescent="0.2">
      <c r="A21" s="12" t="s">
        <v>20</v>
      </c>
      <c r="B21" s="1">
        <v>304</v>
      </c>
      <c r="C21" s="1">
        <v>8</v>
      </c>
      <c r="D21" s="1">
        <v>241</v>
      </c>
      <c r="E21" s="1">
        <v>0</v>
      </c>
      <c r="F21" s="20">
        <f t="shared" si="1"/>
        <v>553</v>
      </c>
      <c r="G21" s="24">
        <f>F21/991-1</f>
        <v>-0.44197780020181632</v>
      </c>
      <c r="H21" s="18"/>
      <c r="I21" s="18"/>
      <c r="J21" s="18"/>
      <c r="K21" s="18"/>
      <c r="L21" s="18"/>
      <c r="M21" s="18"/>
      <c r="N21" s="18"/>
    </row>
    <row r="22" spans="1:14" x14ac:dyDescent="0.2">
      <c r="A22" s="12" t="s">
        <v>24</v>
      </c>
      <c r="B22" s="1">
        <v>976</v>
      </c>
      <c r="C22" s="1">
        <v>1726</v>
      </c>
      <c r="D22" s="1">
        <v>131</v>
      </c>
      <c r="E22" s="1">
        <v>486</v>
      </c>
      <c r="F22" s="20">
        <f t="shared" si="1"/>
        <v>3319</v>
      </c>
      <c r="G22" s="24">
        <f>F22/3741-1</f>
        <v>-0.11280406308473667</v>
      </c>
      <c r="H22" s="18"/>
      <c r="I22" s="18"/>
      <c r="J22" s="18"/>
      <c r="K22" s="18"/>
      <c r="L22" s="18"/>
      <c r="M22" s="18"/>
      <c r="N22" s="18"/>
    </row>
    <row r="23" spans="1:14" s="5" customFormat="1" x14ac:dyDescent="0.2">
      <c r="A23" s="16" t="s">
        <v>23</v>
      </c>
      <c r="B23" s="3">
        <f>SUM(B13:B22)</f>
        <v>22240</v>
      </c>
      <c r="C23" s="3">
        <f t="shared" ref="C23:E23" si="2">SUM(C13:C22)</f>
        <v>24719</v>
      </c>
      <c r="D23" s="3">
        <f t="shared" si="2"/>
        <v>4018</v>
      </c>
      <c r="E23" s="3">
        <f t="shared" si="2"/>
        <v>15833</v>
      </c>
      <c r="F23" s="37">
        <f t="shared" si="1"/>
        <v>66810</v>
      </c>
      <c r="G23" s="21">
        <f>F23/76153-1</f>
        <v>-0.1226872217772117</v>
      </c>
      <c r="H23" s="18"/>
      <c r="I23" s="18"/>
      <c r="J23" s="18"/>
      <c r="K23" s="18"/>
      <c r="L23" s="18"/>
      <c r="M23" s="18"/>
      <c r="N23" s="18"/>
    </row>
    <row r="24" spans="1:14" s="26" customFormat="1" x14ac:dyDescent="0.2">
      <c r="A24" s="25"/>
      <c r="B24" s="20"/>
      <c r="C24" s="20"/>
      <c r="D24" s="20"/>
      <c r="E24" s="20"/>
      <c r="F24" s="20"/>
      <c r="G24" s="24"/>
      <c r="H24" s="18"/>
      <c r="I24" s="18"/>
      <c r="J24" s="18"/>
      <c r="K24" s="18"/>
      <c r="L24" s="18"/>
      <c r="M24" s="18"/>
      <c r="N24" s="18"/>
    </row>
    <row r="25" spans="1:14" s="26" customFormat="1" x14ac:dyDescent="0.2">
      <c r="A25" s="25" t="s">
        <v>34</v>
      </c>
      <c r="B25" s="20"/>
      <c r="C25" s="20"/>
      <c r="D25" s="20"/>
      <c r="E25" s="20"/>
      <c r="F25" s="20"/>
      <c r="G25" s="24"/>
      <c r="H25" s="18"/>
      <c r="I25" s="18"/>
      <c r="J25" s="18"/>
      <c r="K25" s="18"/>
      <c r="L25" s="18"/>
      <c r="M25" s="18"/>
      <c r="N25" s="18"/>
    </row>
    <row r="26" spans="1:14" x14ac:dyDescent="0.2">
      <c r="A26" s="12" t="s">
        <v>27</v>
      </c>
      <c r="B26" s="1">
        <v>4660</v>
      </c>
      <c r="C26" s="1">
        <v>12941</v>
      </c>
      <c r="D26" s="1">
        <v>506</v>
      </c>
      <c r="E26" s="1">
        <v>4164</v>
      </c>
      <c r="F26" s="20">
        <f>SUM(B26:E26)</f>
        <v>22271</v>
      </c>
      <c r="G26" s="24">
        <f>F26/23702-1</f>
        <v>-6.0374651928107315E-2</v>
      </c>
      <c r="H26" s="18"/>
      <c r="I26" s="18"/>
      <c r="J26" s="18"/>
      <c r="K26" s="18"/>
      <c r="L26" s="18"/>
      <c r="M26" s="18"/>
      <c r="N26" s="18"/>
    </row>
    <row r="27" spans="1:14" x14ac:dyDescent="0.2">
      <c r="A27" s="12" t="s">
        <v>21</v>
      </c>
      <c r="B27" s="1">
        <v>1926</v>
      </c>
      <c r="C27" s="1">
        <v>2805</v>
      </c>
      <c r="D27" s="1">
        <v>56</v>
      </c>
      <c r="E27" s="1">
        <v>7612</v>
      </c>
      <c r="F27" s="20">
        <f t="shared" ref="F27:F28" si="3">SUM(B27:E27)</f>
        <v>12399</v>
      </c>
      <c r="G27" s="24">
        <f>F27/12527-1</f>
        <v>-1.0217929272770765E-2</v>
      </c>
      <c r="H27" s="18"/>
      <c r="I27" s="18"/>
      <c r="J27" s="18"/>
      <c r="K27" s="18"/>
      <c r="L27" s="18"/>
      <c r="M27" s="18"/>
      <c r="N27" s="18"/>
    </row>
    <row r="28" spans="1:14" x14ac:dyDescent="0.2">
      <c r="A28" s="17" t="s">
        <v>25</v>
      </c>
      <c r="B28" s="1">
        <v>13588</v>
      </c>
      <c r="C28" s="1">
        <v>14654</v>
      </c>
      <c r="D28" s="1">
        <v>9616</v>
      </c>
      <c r="E28" s="1">
        <v>11811</v>
      </c>
      <c r="F28" s="20">
        <f t="shared" si="3"/>
        <v>49669</v>
      </c>
      <c r="G28" s="24">
        <f>F28/58729-1</f>
        <v>-0.15426790852900607</v>
      </c>
      <c r="H28" s="18"/>
      <c r="I28" s="18"/>
      <c r="J28" s="18"/>
      <c r="K28" s="18"/>
      <c r="L28" s="18"/>
      <c r="M28" s="18"/>
      <c r="N28" s="18"/>
    </row>
    <row r="29" spans="1:14" x14ac:dyDescent="0.2">
      <c r="A29" s="31"/>
      <c r="B29" s="31"/>
      <c r="C29" s="31"/>
      <c r="D29" s="31"/>
      <c r="E29" s="31"/>
      <c r="F29" s="31"/>
      <c r="G29" s="31"/>
    </row>
    <row r="30" spans="1:14" s="5" customFormat="1" x14ac:dyDescent="0.2">
      <c r="A30" s="3" t="s">
        <v>12</v>
      </c>
      <c r="B30" s="3">
        <f>SUM(B10+B23+B26+B27+B28)</f>
        <v>107623</v>
      </c>
      <c r="C30" s="3">
        <f t="shared" ref="C30:F30" si="4">SUM(C10+C23+C26+C27+C28)</f>
        <v>170585</v>
      </c>
      <c r="D30" s="3">
        <f t="shared" si="4"/>
        <v>15029</v>
      </c>
      <c r="E30" s="3">
        <f t="shared" si="4"/>
        <v>62467</v>
      </c>
      <c r="F30" s="3">
        <f t="shared" si="4"/>
        <v>355704</v>
      </c>
      <c r="G30" s="4">
        <f>F30/447393-1</f>
        <v>-0.2049406226740248</v>
      </c>
      <c r="H30" s="18"/>
      <c r="I30" s="18"/>
      <c r="J30" s="18"/>
      <c r="K30" s="18"/>
      <c r="L30" s="18"/>
      <c r="M30" s="18"/>
      <c r="N30" s="18"/>
    </row>
    <row r="31" spans="1:14" x14ac:dyDescent="0.2">
      <c r="A31" s="12"/>
      <c r="B31" s="1"/>
      <c r="C31" s="1"/>
      <c r="D31" s="1"/>
      <c r="E31" s="1"/>
      <c r="F31" s="20"/>
      <c r="G31" s="24"/>
      <c r="H31" s="18"/>
      <c r="I31" s="18"/>
      <c r="J31" s="18"/>
      <c r="K31" s="18"/>
      <c r="L31" s="18"/>
      <c r="M31" s="18"/>
      <c r="N31" s="18"/>
    </row>
    <row r="32" spans="1:14" x14ac:dyDescent="0.2">
      <c r="A32" s="12" t="s">
        <v>13</v>
      </c>
      <c r="B32" s="17"/>
      <c r="C32" s="17"/>
      <c r="D32" s="17">
        <v>65086</v>
      </c>
      <c r="E32" s="17"/>
      <c r="F32" s="20">
        <f>D32</f>
        <v>65086</v>
      </c>
      <c r="G32" s="24">
        <f>F32/98463-1</f>
        <v>-0.33898012451377679</v>
      </c>
      <c r="H32" s="18"/>
      <c r="I32" s="18"/>
      <c r="J32" s="18"/>
      <c r="K32" s="18"/>
      <c r="L32" s="18"/>
      <c r="M32" s="18"/>
      <c r="N32" s="18"/>
    </row>
    <row r="33" spans="1:14" x14ac:dyDescent="0.2">
      <c r="A33" s="12"/>
      <c r="B33" s="17"/>
      <c r="C33" s="17"/>
      <c r="D33" s="17"/>
      <c r="E33" s="17"/>
      <c r="F33" s="20"/>
      <c r="G33" s="24"/>
      <c r="H33" s="18"/>
      <c r="I33" s="18"/>
      <c r="J33" s="18"/>
      <c r="K33" s="18"/>
      <c r="L33" s="18"/>
      <c r="M33" s="18"/>
      <c r="N33" s="18"/>
    </row>
    <row r="34" spans="1:14" x14ac:dyDescent="0.2">
      <c r="A34" s="12" t="s">
        <v>14</v>
      </c>
      <c r="B34" s="17">
        <v>9364</v>
      </c>
      <c r="C34" s="17">
        <v>14205</v>
      </c>
      <c r="D34" s="17">
        <v>1969</v>
      </c>
      <c r="E34" s="17">
        <v>15183</v>
      </c>
      <c r="F34" s="20">
        <f>SUM(B34:E34)</f>
        <v>40721</v>
      </c>
      <c r="G34" s="24">
        <f>F34/36080-1</f>
        <v>0.12863082039911311</v>
      </c>
      <c r="H34" s="43" t="s">
        <v>39</v>
      </c>
      <c r="I34" s="18"/>
      <c r="J34" s="18"/>
      <c r="K34" s="18"/>
      <c r="L34" s="18"/>
      <c r="M34" s="18"/>
      <c r="N34" s="18"/>
    </row>
    <row r="35" spans="1:14" x14ac:dyDescent="0.2">
      <c r="A35" s="12" t="s">
        <v>15</v>
      </c>
      <c r="B35" s="17"/>
      <c r="C35" s="17"/>
      <c r="D35" s="17">
        <v>54339</v>
      </c>
      <c r="E35" s="17"/>
      <c r="F35" s="20">
        <f>D35</f>
        <v>54339</v>
      </c>
      <c r="G35" s="24">
        <f>F35/36080-1</f>
        <v>0.50606984478935702</v>
      </c>
      <c r="H35" s="18"/>
      <c r="I35" s="18"/>
      <c r="J35" s="18"/>
      <c r="K35" s="18"/>
      <c r="L35" s="18"/>
      <c r="M35" s="18"/>
      <c r="N35" s="18"/>
    </row>
    <row r="36" spans="1:14" x14ac:dyDescent="0.2">
      <c r="A36" s="12"/>
      <c r="B36" s="17"/>
      <c r="C36" s="17"/>
      <c r="D36" s="17"/>
      <c r="E36" s="17"/>
      <c r="F36" s="20"/>
      <c r="G36" s="24"/>
      <c r="H36" s="18"/>
      <c r="I36" s="18"/>
      <c r="J36" s="18"/>
      <c r="K36" s="18"/>
      <c r="L36" s="18"/>
      <c r="M36" s="18"/>
      <c r="N36" s="18"/>
    </row>
    <row r="37" spans="1:14" x14ac:dyDescent="0.2">
      <c r="A37" s="12" t="s">
        <v>16</v>
      </c>
      <c r="B37" s="17">
        <v>7379</v>
      </c>
      <c r="C37" s="17">
        <v>11168</v>
      </c>
      <c r="D37" s="17">
        <v>400</v>
      </c>
      <c r="E37" s="17">
        <v>3703</v>
      </c>
      <c r="F37" s="20">
        <f>SUM(B37:E37)</f>
        <v>22650</v>
      </c>
      <c r="G37" s="24">
        <f>F37/29162-1</f>
        <v>-0.22330430011659008</v>
      </c>
      <c r="H37" s="18"/>
      <c r="I37" s="18"/>
      <c r="J37" s="18"/>
      <c r="K37" s="18"/>
      <c r="L37" s="18"/>
      <c r="M37" s="18"/>
      <c r="N37" s="18"/>
    </row>
    <row r="38" spans="1:14" x14ac:dyDescent="0.2">
      <c r="A38" s="12" t="s">
        <v>17</v>
      </c>
      <c r="B38" s="17"/>
      <c r="C38" s="17"/>
      <c r="D38" s="17">
        <v>18101</v>
      </c>
      <c r="E38" s="17"/>
      <c r="F38" s="20">
        <f>D38</f>
        <v>18101</v>
      </c>
      <c r="G38" s="24">
        <f>F38/20213-1</f>
        <v>-0.10448721120071236</v>
      </c>
      <c r="H38" s="18"/>
      <c r="I38" s="18"/>
      <c r="J38" s="18"/>
      <c r="K38" s="18"/>
      <c r="L38" s="18"/>
      <c r="M38" s="18"/>
      <c r="N38" s="18"/>
    </row>
  </sheetData>
  <sheetProtection password="CC4F" sheet="1" objects="1" scenarios="1"/>
  <pageMargins left="0.7" right="0.7" top="0.75" bottom="0.75" header="0.3" footer="0.3"/>
  <pageSetup scale="70" orientation="landscape" r:id="rId1"/>
  <headerFooter alignWithMargins="0">
    <oddHeader>&amp;L&amp;"Arial,Bold"&amp;14CIRCULATION STATISTICS&amp;C&amp;"Arial,Bold"&amp;14October - December 2013</oddHeader>
  </headerFooter>
  <ignoredErrors>
    <ignoredError sqref="E10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N39"/>
  <sheetViews>
    <sheetView view="pageLayout" zoomScaleNormal="100" workbookViewId="0">
      <selection activeCell="B12" sqref="B12"/>
    </sheetView>
  </sheetViews>
  <sheetFormatPr defaultRowHeight="12.75" x14ac:dyDescent="0.2"/>
  <cols>
    <col min="1" max="1" width="26.5703125" customWidth="1"/>
    <col min="2" max="2" width="14.85546875" customWidth="1"/>
    <col min="3" max="3" width="16.42578125" customWidth="1"/>
    <col min="4" max="4" width="13.140625" customWidth="1"/>
    <col min="5" max="5" width="12.7109375" customWidth="1"/>
    <col min="6" max="6" width="14.140625" customWidth="1"/>
    <col min="7" max="7" width="14.85546875" customWidth="1"/>
  </cols>
  <sheetData>
    <row r="1" spans="1:14" s="10" customFormat="1" ht="32.25" customHeight="1" x14ac:dyDescent="0.25">
      <c r="A1" s="7" t="s">
        <v>0</v>
      </c>
      <c r="B1" s="8" t="s">
        <v>1</v>
      </c>
      <c r="C1" s="9" t="s">
        <v>2</v>
      </c>
      <c r="D1" s="8" t="s">
        <v>3</v>
      </c>
      <c r="E1" s="8" t="s">
        <v>4</v>
      </c>
      <c r="F1" s="8" t="s">
        <v>18</v>
      </c>
      <c r="G1" s="8" t="s">
        <v>41</v>
      </c>
    </row>
    <row r="2" spans="1:14" s="29" customFormat="1" ht="12.75" customHeight="1" x14ac:dyDescent="0.25">
      <c r="A2" s="30" t="s">
        <v>32</v>
      </c>
      <c r="B2" s="8"/>
      <c r="C2" s="9"/>
      <c r="D2" s="8"/>
      <c r="E2" s="8"/>
      <c r="F2" s="28"/>
      <c r="G2" s="28"/>
    </row>
    <row r="3" spans="1:14" s="29" customFormat="1" ht="12.75" customHeight="1" x14ac:dyDescent="0.25">
      <c r="A3" s="30" t="s">
        <v>45</v>
      </c>
      <c r="B3" s="8"/>
      <c r="C3" s="9"/>
      <c r="D3" s="8"/>
      <c r="E3" s="47">
        <v>28241</v>
      </c>
      <c r="F3" s="47">
        <v>28241</v>
      </c>
      <c r="G3" s="28"/>
    </row>
    <row r="4" spans="1:14" x14ac:dyDescent="0.2">
      <c r="A4" s="12" t="s">
        <v>29</v>
      </c>
      <c r="B4" s="13">
        <v>38895</v>
      </c>
      <c r="C4" s="13">
        <v>41800</v>
      </c>
      <c r="D4" s="13">
        <v>0</v>
      </c>
      <c r="E4" s="13">
        <v>29937</v>
      </c>
      <c r="F4" s="19">
        <f t="shared" ref="F4:F9" si="0">SUM(B4:E4)</f>
        <v>110632</v>
      </c>
      <c r="G4" s="22"/>
    </row>
    <row r="5" spans="1:14" x14ac:dyDescent="0.2">
      <c r="A5" s="14" t="s">
        <v>30</v>
      </c>
      <c r="B5" s="13">
        <v>348</v>
      </c>
      <c r="C5" s="13">
        <v>389</v>
      </c>
      <c r="D5" s="13">
        <v>0</v>
      </c>
      <c r="E5" s="13">
        <v>0</v>
      </c>
      <c r="F5" s="19">
        <f t="shared" si="0"/>
        <v>737</v>
      </c>
      <c r="G5" s="22"/>
    </row>
    <row r="6" spans="1:14" x14ac:dyDescent="0.2">
      <c r="A6" s="14" t="s">
        <v>19</v>
      </c>
      <c r="B6" s="13">
        <v>109</v>
      </c>
      <c r="C6" s="13">
        <v>247</v>
      </c>
      <c r="D6" s="13">
        <v>0</v>
      </c>
      <c r="E6" s="13">
        <v>7</v>
      </c>
      <c r="F6" s="19">
        <f t="shared" si="0"/>
        <v>363</v>
      </c>
      <c r="G6" s="22"/>
    </row>
    <row r="7" spans="1:14" x14ac:dyDescent="0.2">
      <c r="A7" s="12" t="s">
        <v>26</v>
      </c>
      <c r="B7" s="1">
        <v>6831</v>
      </c>
      <c r="C7" s="1">
        <v>9999</v>
      </c>
      <c r="D7" s="1">
        <v>408</v>
      </c>
      <c r="E7" s="1">
        <v>0</v>
      </c>
      <c r="F7" s="20">
        <f t="shared" si="0"/>
        <v>17238</v>
      </c>
      <c r="G7" s="24"/>
      <c r="H7" s="18"/>
      <c r="I7" s="18"/>
      <c r="J7" s="18"/>
      <c r="K7" s="18"/>
      <c r="L7" s="18"/>
      <c r="M7" s="18"/>
      <c r="N7" s="18"/>
    </row>
    <row r="8" spans="1:14" x14ac:dyDescent="0.2">
      <c r="A8" s="14" t="s">
        <v>5</v>
      </c>
      <c r="B8" s="13">
        <v>319</v>
      </c>
      <c r="C8" s="13">
        <v>0</v>
      </c>
      <c r="D8" s="13">
        <v>951</v>
      </c>
      <c r="E8" s="13">
        <v>3888</v>
      </c>
      <c r="F8" s="19">
        <f t="shared" si="0"/>
        <v>5158</v>
      </c>
      <c r="G8" s="22"/>
    </row>
    <row r="9" spans="1:14" x14ac:dyDescent="0.2">
      <c r="A9" s="14" t="s">
        <v>31</v>
      </c>
      <c r="B9" s="13">
        <v>3</v>
      </c>
      <c r="C9" s="13">
        <v>0</v>
      </c>
      <c r="D9" s="13">
        <v>0</v>
      </c>
      <c r="E9" s="13">
        <v>7343</v>
      </c>
      <c r="F9" s="19">
        <f t="shared" si="0"/>
        <v>7346</v>
      </c>
      <c r="G9" s="22"/>
      <c r="H9" s="18"/>
      <c r="I9" s="18"/>
      <c r="J9" s="18"/>
      <c r="K9" s="18"/>
      <c r="L9" s="18"/>
      <c r="M9" s="18"/>
      <c r="N9" s="18"/>
    </row>
    <row r="10" spans="1:14" s="5" customFormat="1" x14ac:dyDescent="0.2">
      <c r="A10" s="11" t="s">
        <v>28</v>
      </c>
      <c r="B10" s="6">
        <f>SUM(B4:B9)</f>
        <v>46505</v>
      </c>
      <c r="C10" s="6">
        <f>SUM(C4:C9)</f>
        <v>52435</v>
      </c>
      <c r="D10" s="6">
        <f>SUM(D4:D9)</f>
        <v>1359</v>
      </c>
      <c r="E10" s="6">
        <f>SUM(E3:E9)</f>
        <v>69416</v>
      </c>
      <c r="F10" s="27">
        <f>SUM(F3:F9)</f>
        <v>169715</v>
      </c>
      <c r="G10" s="23">
        <f>F10/249534-1</f>
        <v>-0.3198722418588249</v>
      </c>
      <c r="H10" s="18"/>
      <c r="I10" s="18"/>
      <c r="J10" s="18"/>
      <c r="K10" s="18"/>
      <c r="L10" s="18"/>
      <c r="M10" s="18"/>
      <c r="N10" s="18"/>
    </row>
    <row r="11" spans="1:14" x14ac:dyDescent="0.2">
      <c r="A11" s="14"/>
      <c r="B11" s="12"/>
      <c r="C11" s="1"/>
      <c r="D11" s="12"/>
      <c r="E11" s="12"/>
      <c r="F11" s="1"/>
      <c r="G11" s="2"/>
      <c r="H11" s="18"/>
      <c r="I11" s="18"/>
      <c r="J11" s="18"/>
      <c r="K11" s="18"/>
      <c r="L11" s="18"/>
      <c r="M11" s="18"/>
      <c r="N11" s="18"/>
    </row>
    <row r="12" spans="1:14" x14ac:dyDescent="0.2">
      <c r="A12" s="14" t="s">
        <v>33</v>
      </c>
      <c r="B12" s="12"/>
      <c r="C12" s="1"/>
      <c r="D12" s="12"/>
      <c r="E12" s="12"/>
      <c r="F12" s="1"/>
      <c r="G12" s="2"/>
      <c r="H12" s="18"/>
      <c r="I12" s="18"/>
      <c r="J12" s="18"/>
      <c r="K12" s="18"/>
      <c r="L12" s="18"/>
      <c r="M12" s="18"/>
      <c r="N12" s="18"/>
    </row>
    <row r="13" spans="1:14" x14ac:dyDescent="0.2">
      <c r="A13" s="15" t="s">
        <v>6</v>
      </c>
      <c r="B13" s="1">
        <v>3119</v>
      </c>
      <c r="C13" s="1">
        <v>2964</v>
      </c>
      <c r="D13" s="1">
        <v>304</v>
      </c>
      <c r="E13" s="1">
        <v>2800</v>
      </c>
      <c r="F13" s="20">
        <f t="shared" ref="F13:F23" si="1">SUM(B13:E13)</f>
        <v>9187</v>
      </c>
      <c r="G13" s="24">
        <f>F13/15369-1</f>
        <v>-0.40223827184592365</v>
      </c>
      <c r="H13" s="18"/>
      <c r="I13" s="18"/>
      <c r="J13" s="18"/>
      <c r="K13" s="18"/>
      <c r="L13" s="18"/>
      <c r="M13" s="18"/>
      <c r="N13" s="18"/>
    </row>
    <row r="14" spans="1:14" x14ac:dyDescent="0.2">
      <c r="A14" s="15" t="s">
        <v>35</v>
      </c>
      <c r="B14" s="1">
        <v>2803</v>
      </c>
      <c r="C14" s="1">
        <v>1417</v>
      </c>
      <c r="D14" s="1">
        <v>163</v>
      </c>
      <c r="E14" s="1">
        <v>2097</v>
      </c>
      <c r="F14" s="20">
        <f t="shared" si="1"/>
        <v>6480</v>
      </c>
      <c r="G14" s="24">
        <f>F14/9717-1</f>
        <v>-0.33312750849027473</v>
      </c>
      <c r="H14" s="18"/>
      <c r="I14" s="18"/>
      <c r="J14" s="18"/>
      <c r="K14" s="18"/>
      <c r="L14" s="18"/>
      <c r="M14" s="18"/>
      <c r="N14" s="18"/>
    </row>
    <row r="15" spans="1:14" x14ac:dyDescent="0.2">
      <c r="A15" s="15" t="s">
        <v>7</v>
      </c>
      <c r="B15" s="1">
        <v>1552</v>
      </c>
      <c r="C15" s="1">
        <v>910</v>
      </c>
      <c r="D15" s="1">
        <v>57</v>
      </c>
      <c r="E15" s="1">
        <v>644</v>
      </c>
      <c r="F15" s="20">
        <f t="shared" si="1"/>
        <v>3163</v>
      </c>
      <c r="G15" s="24">
        <f>F15/5808-1</f>
        <v>-0.45540633608815428</v>
      </c>
      <c r="H15" s="18"/>
      <c r="I15" s="18"/>
      <c r="J15" s="18"/>
      <c r="K15" s="18"/>
      <c r="L15" s="18"/>
      <c r="M15" s="18"/>
      <c r="N15" s="18"/>
    </row>
    <row r="16" spans="1:14" x14ac:dyDescent="0.2">
      <c r="A16" s="15" t="s">
        <v>9</v>
      </c>
      <c r="B16" s="1">
        <v>2097</v>
      </c>
      <c r="C16" s="1">
        <v>1468</v>
      </c>
      <c r="D16" s="1">
        <v>286</v>
      </c>
      <c r="E16" s="1">
        <v>2770</v>
      </c>
      <c r="F16" s="20">
        <f t="shared" si="1"/>
        <v>6621</v>
      </c>
      <c r="G16" s="24">
        <f>F16/11146-1</f>
        <v>-0.40597523775345412</v>
      </c>
      <c r="H16" s="18"/>
      <c r="I16" s="18"/>
      <c r="J16" s="18"/>
      <c r="K16" s="18"/>
      <c r="L16" s="18"/>
      <c r="M16" s="18"/>
      <c r="N16" s="18"/>
    </row>
    <row r="17" spans="1:14" x14ac:dyDescent="0.2">
      <c r="A17" s="14" t="s">
        <v>22</v>
      </c>
      <c r="B17" s="1">
        <v>4295</v>
      </c>
      <c r="C17" s="1">
        <v>417</v>
      </c>
      <c r="D17" s="1">
        <v>2723</v>
      </c>
      <c r="E17" s="1">
        <v>2643</v>
      </c>
      <c r="F17" s="20">
        <f t="shared" si="1"/>
        <v>10078</v>
      </c>
      <c r="G17" s="24">
        <f>F17/10612-1</f>
        <v>-5.0320392009046366E-2</v>
      </c>
      <c r="H17" s="18"/>
      <c r="I17" s="18"/>
      <c r="J17" s="18"/>
      <c r="K17" s="18"/>
      <c r="L17" s="18"/>
      <c r="M17" s="18"/>
      <c r="N17" s="18"/>
    </row>
    <row r="18" spans="1:14" x14ac:dyDescent="0.2">
      <c r="A18" s="14" t="s">
        <v>10</v>
      </c>
      <c r="B18" s="1">
        <v>101</v>
      </c>
      <c r="C18" s="1">
        <v>0</v>
      </c>
      <c r="D18" s="1">
        <v>0</v>
      </c>
      <c r="E18" s="1">
        <v>20</v>
      </c>
      <c r="F18" s="20">
        <f t="shared" si="1"/>
        <v>121</v>
      </c>
      <c r="G18" s="24">
        <f>F18/160-1</f>
        <v>-0.24375000000000002</v>
      </c>
      <c r="H18" s="18"/>
      <c r="I18" s="18"/>
      <c r="J18" s="18"/>
      <c r="K18" s="18"/>
      <c r="L18" s="18"/>
      <c r="M18" s="18"/>
      <c r="N18" s="18"/>
    </row>
    <row r="19" spans="1:14" x14ac:dyDescent="0.2">
      <c r="A19" s="14" t="s">
        <v>11</v>
      </c>
      <c r="B19" s="1">
        <v>1459</v>
      </c>
      <c r="C19" s="1">
        <v>1640</v>
      </c>
      <c r="D19" s="1">
        <v>134</v>
      </c>
      <c r="E19" s="1">
        <v>1017</v>
      </c>
      <c r="F19" s="20">
        <f t="shared" si="1"/>
        <v>4250</v>
      </c>
      <c r="G19" s="24">
        <f>F19/7895-1</f>
        <v>-0.46168461051298293</v>
      </c>
      <c r="H19" s="18"/>
      <c r="I19" s="18"/>
      <c r="J19" s="18"/>
      <c r="K19" s="18"/>
      <c r="L19" s="18"/>
      <c r="M19" s="18"/>
      <c r="N19" s="18"/>
    </row>
    <row r="20" spans="1:14" x14ac:dyDescent="0.2">
      <c r="A20" s="14" t="s">
        <v>8</v>
      </c>
      <c r="B20" s="1">
        <v>2371</v>
      </c>
      <c r="C20" s="1">
        <v>1550</v>
      </c>
      <c r="D20" s="1">
        <v>59</v>
      </c>
      <c r="E20" s="1">
        <v>899</v>
      </c>
      <c r="F20" s="20">
        <f t="shared" si="1"/>
        <v>4879</v>
      </c>
      <c r="G20" s="24">
        <f>F20/11462-1</f>
        <v>-0.57433257721165587</v>
      </c>
      <c r="H20" s="18"/>
      <c r="I20" s="18"/>
      <c r="J20" s="18"/>
      <c r="K20" s="18"/>
      <c r="L20" s="18"/>
      <c r="M20" s="18"/>
      <c r="N20" s="18"/>
    </row>
    <row r="21" spans="1:14" x14ac:dyDescent="0.2">
      <c r="A21" s="12" t="s">
        <v>20</v>
      </c>
      <c r="B21" s="1">
        <v>389</v>
      </c>
      <c r="C21" s="1">
        <v>1</v>
      </c>
      <c r="D21" s="1">
        <v>273</v>
      </c>
      <c r="E21" s="1">
        <v>1027</v>
      </c>
      <c r="F21" s="20">
        <f t="shared" si="1"/>
        <v>1690</v>
      </c>
      <c r="G21" s="24">
        <f>F21/917-1</f>
        <v>0.8429661941112323</v>
      </c>
      <c r="H21" s="18"/>
      <c r="I21" s="18"/>
      <c r="J21" s="18"/>
      <c r="K21" s="18"/>
      <c r="L21" s="18"/>
      <c r="M21" s="18"/>
      <c r="N21" s="18"/>
    </row>
    <row r="22" spans="1:14" x14ac:dyDescent="0.2">
      <c r="A22" s="12" t="s">
        <v>24</v>
      </c>
      <c r="B22" s="1">
        <v>462</v>
      </c>
      <c r="C22" s="1">
        <v>545</v>
      </c>
      <c r="D22" s="1">
        <v>40</v>
      </c>
      <c r="E22" s="1">
        <v>456</v>
      </c>
      <c r="F22" s="20">
        <f t="shared" si="1"/>
        <v>1503</v>
      </c>
      <c r="G22" s="24">
        <f>F22/3786-1</f>
        <v>-0.60301109350237714</v>
      </c>
      <c r="H22" s="18"/>
      <c r="I22" s="18"/>
      <c r="J22" s="18"/>
      <c r="K22" s="18"/>
      <c r="L22" s="18"/>
      <c r="M22" s="18"/>
      <c r="N22" s="18"/>
    </row>
    <row r="23" spans="1:14" s="5" customFormat="1" x14ac:dyDescent="0.2">
      <c r="A23" s="16" t="s">
        <v>23</v>
      </c>
      <c r="B23" s="3">
        <f>SUM(B13:B22)</f>
        <v>18648</v>
      </c>
      <c r="C23" s="3">
        <f>SUM(C13:C22)</f>
        <v>10912</v>
      </c>
      <c r="D23" s="3">
        <f>SUM(D13:D22)</f>
        <v>4039</v>
      </c>
      <c r="E23" s="3">
        <f>SUM(E13:E22)</f>
        <v>14373</v>
      </c>
      <c r="F23" s="3">
        <f t="shared" si="1"/>
        <v>47972</v>
      </c>
      <c r="G23" s="21">
        <f>F23/76872-1</f>
        <v>-0.37594963055468833</v>
      </c>
      <c r="H23" s="18"/>
      <c r="I23" s="18"/>
      <c r="J23" s="18"/>
      <c r="K23" s="18"/>
      <c r="L23" s="18"/>
      <c r="M23" s="18"/>
      <c r="N23" s="18"/>
    </row>
    <row r="24" spans="1:14" s="26" customFormat="1" x14ac:dyDescent="0.2">
      <c r="A24" s="25"/>
      <c r="B24" s="20"/>
      <c r="C24" s="20"/>
      <c r="D24" s="20"/>
      <c r="E24" s="20"/>
      <c r="F24" s="20"/>
      <c r="G24" s="24"/>
      <c r="H24" s="18"/>
      <c r="I24" s="18"/>
      <c r="J24" s="18"/>
      <c r="K24" s="18"/>
      <c r="L24" s="18"/>
      <c r="M24" s="18"/>
      <c r="N24" s="18"/>
    </row>
    <row r="25" spans="1:14" s="26" customFormat="1" x14ac:dyDescent="0.2">
      <c r="A25" s="25" t="s">
        <v>34</v>
      </c>
      <c r="B25" s="20"/>
      <c r="C25" s="20"/>
      <c r="D25" s="20"/>
      <c r="E25" s="20"/>
      <c r="F25" s="20"/>
      <c r="G25" s="24"/>
      <c r="H25" s="18"/>
      <c r="I25" s="18"/>
      <c r="J25" s="18"/>
      <c r="K25" s="18"/>
      <c r="L25" s="18"/>
      <c r="M25" s="18"/>
      <c r="N25" s="18"/>
    </row>
    <row r="26" spans="1:14" x14ac:dyDescent="0.2">
      <c r="A26" s="12" t="s">
        <v>27</v>
      </c>
      <c r="B26" s="1">
        <v>3658</v>
      </c>
      <c r="C26" s="1">
        <v>8307</v>
      </c>
      <c r="D26" s="1">
        <v>208</v>
      </c>
      <c r="E26" s="1">
        <v>3879</v>
      </c>
      <c r="F26" s="20">
        <f>SUM(B26:E26)</f>
        <v>16052</v>
      </c>
      <c r="G26" s="24">
        <f>F26/22463-1</f>
        <v>-0.28540266215554466</v>
      </c>
      <c r="H26" s="18"/>
      <c r="I26" s="18"/>
      <c r="J26" s="18"/>
      <c r="K26" s="18"/>
      <c r="L26" s="18"/>
      <c r="M26" s="18"/>
      <c r="N26" s="18"/>
    </row>
    <row r="27" spans="1:14" x14ac:dyDescent="0.2">
      <c r="A27" s="12" t="s">
        <v>21</v>
      </c>
      <c r="B27" s="1">
        <v>1407</v>
      </c>
      <c r="C27" s="1">
        <v>1076</v>
      </c>
      <c r="D27" s="1">
        <v>43</v>
      </c>
      <c r="E27" s="1">
        <v>7625</v>
      </c>
      <c r="F27" s="20">
        <f>SUM(B27:E27)</f>
        <v>10151</v>
      </c>
      <c r="G27" s="24">
        <f>F27/12143-1</f>
        <v>-0.16404512888083667</v>
      </c>
      <c r="H27" s="18"/>
      <c r="I27" s="18"/>
      <c r="J27" s="18"/>
      <c r="K27" s="18"/>
      <c r="L27" s="18"/>
      <c r="M27" s="18"/>
      <c r="N27" s="18"/>
    </row>
    <row r="28" spans="1:14" x14ac:dyDescent="0.2">
      <c r="A28" s="17" t="s">
        <v>25</v>
      </c>
      <c r="B28" s="1">
        <v>12659</v>
      </c>
      <c r="C28" s="1">
        <v>7427</v>
      </c>
      <c r="D28" s="1">
        <v>12121</v>
      </c>
      <c r="E28" s="1">
        <v>11718</v>
      </c>
      <c r="F28" s="20">
        <f>SUM(B28:E28)</f>
        <v>43925</v>
      </c>
      <c r="G28" s="24">
        <f>F28/50138-1</f>
        <v>-0.12391798635765283</v>
      </c>
      <c r="H28" s="18"/>
      <c r="I28" s="18"/>
      <c r="J28" s="18"/>
      <c r="K28" s="18"/>
      <c r="L28" s="18"/>
      <c r="M28" s="18"/>
      <c r="N28" s="18"/>
    </row>
    <row r="29" spans="1:14" x14ac:dyDescent="0.2">
      <c r="A29" s="31"/>
      <c r="B29" s="31"/>
      <c r="C29" s="31"/>
      <c r="D29" s="31"/>
      <c r="E29" s="31"/>
      <c r="F29" s="20"/>
      <c r="G29" s="31"/>
    </row>
    <row r="30" spans="1:14" s="5" customFormat="1" x14ac:dyDescent="0.2">
      <c r="A30" s="3" t="s">
        <v>12</v>
      </c>
      <c r="B30" s="3">
        <f>B10+B23+B26+B27+B28</f>
        <v>82877</v>
      </c>
      <c r="C30" s="3">
        <f t="shared" ref="C30:F30" si="2">C10+C23+C26+C27+C28</f>
        <v>80157</v>
      </c>
      <c r="D30" s="3">
        <f t="shared" si="2"/>
        <v>17770</v>
      </c>
      <c r="E30" s="3">
        <f t="shared" si="2"/>
        <v>107011</v>
      </c>
      <c r="F30" s="3">
        <f t="shared" si="2"/>
        <v>287815</v>
      </c>
      <c r="G30" s="4">
        <f>F30/449182-1</f>
        <v>-0.35924636338945015</v>
      </c>
      <c r="H30" s="18"/>
      <c r="I30" s="18"/>
      <c r="J30" s="18"/>
      <c r="K30" s="18"/>
      <c r="L30" s="18"/>
      <c r="M30" s="18"/>
      <c r="N30" s="18"/>
    </row>
    <row r="31" spans="1:14" x14ac:dyDescent="0.2">
      <c r="A31" s="12"/>
      <c r="B31" s="1"/>
      <c r="C31" s="1"/>
      <c r="D31" s="1"/>
      <c r="E31" s="1"/>
      <c r="F31" s="20"/>
      <c r="G31" s="24"/>
      <c r="H31" s="18"/>
      <c r="I31" s="18"/>
      <c r="J31" s="18"/>
      <c r="K31" s="18"/>
      <c r="L31" s="18"/>
      <c r="M31" s="18"/>
      <c r="N31" s="18"/>
    </row>
    <row r="32" spans="1:14" x14ac:dyDescent="0.2">
      <c r="A32" s="12" t="s">
        <v>13</v>
      </c>
      <c r="B32" s="17"/>
      <c r="C32" s="17"/>
      <c r="D32" s="17">
        <v>51532</v>
      </c>
      <c r="E32" s="17"/>
      <c r="F32" s="20">
        <v>51532</v>
      </c>
      <c r="G32" s="24">
        <f>F32/108677-1</f>
        <v>-0.52582423143811474</v>
      </c>
      <c r="H32" s="18"/>
      <c r="I32" s="18"/>
      <c r="J32" s="18"/>
      <c r="K32" s="18"/>
      <c r="L32" s="18"/>
      <c r="M32" s="18"/>
      <c r="N32" s="18"/>
    </row>
    <row r="33" spans="1:14" x14ac:dyDescent="0.2">
      <c r="A33" s="12"/>
      <c r="B33" s="17"/>
      <c r="C33" s="17"/>
      <c r="D33" s="17"/>
      <c r="E33" s="17"/>
      <c r="F33" s="20"/>
      <c r="G33" s="24"/>
      <c r="H33" s="18"/>
      <c r="I33" s="18"/>
      <c r="J33" s="18"/>
      <c r="K33" s="18"/>
      <c r="L33" s="18"/>
      <c r="M33" s="18"/>
      <c r="N33" s="18"/>
    </row>
    <row r="34" spans="1:14" x14ac:dyDescent="0.2">
      <c r="A34" s="12" t="s">
        <v>14</v>
      </c>
      <c r="B34" s="17">
        <v>7849</v>
      </c>
      <c r="C34" s="17">
        <v>6843</v>
      </c>
      <c r="D34" s="17">
        <v>1776</v>
      </c>
      <c r="E34" s="17">
        <v>15704</v>
      </c>
      <c r="F34" s="20">
        <f>SUM(B34:E34)</f>
        <v>32172</v>
      </c>
      <c r="G34" s="24">
        <f>F34/38559-1</f>
        <v>-0.1656422625068078</v>
      </c>
      <c r="H34" s="18"/>
      <c r="I34" s="18"/>
      <c r="J34" s="18"/>
      <c r="K34" s="18"/>
      <c r="L34" s="18"/>
      <c r="M34" s="18"/>
      <c r="N34" s="18"/>
    </row>
    <row r="35" spans="1:14" x14ac:dyDescent="0.2">
      <c r="A35" s="12" t="s">
        <v>15</v>
      </c>
      <c r="B35" s="17"/>
      <c r="C35" s="17"/>
      <c r="D35" s="17">
        <v>59846</v>
      </c>
      <c r="E35" s="17"/>
      <c r="F35" s="20">
        <v>59846</v>
      </c>
      <c r="G35" s="24">
        <f>F35/64227-1</f>
        <v>-6.8211188440998383E-2</v>
      </c>
      <c r="H35" s="18"/>
      <c r="I35" s="18"/>
      <c r="J35" s="18"/>
      <c r="K35" s="18"/>
      <c r="L35" s="18"/>
      <c r="M35" s="18"/>
      <c r="N35" s="18"/>
    </row>
    <row r="36" spans="1:14" x14ac:dyDescent="0.2">
      <c r="A36" s="12"/>
      <c r="B36" s="17"/>
      <c r="C36" s="17"/>
      <c r="D36" s="17"/>
      <c r="E36" s="17"/>
      <c r="F36" s="20"/>
      <c r="G36" s="24"/>
      <c r="H36" s="18"/>
      <c r="I36" s="18"/>
      <c r="J36" s="18"/>
      <c r="K36" s="18"/>
      <c r="L36" s="18"/>
      <c r="M36" s="18"/>
      <c r="N36" s="18"/>
    </row>
    <row r="37" spans="1:14" x14ac:dyDescent="0.2">
      <c r="A37" s="12" t="s">
        <v>16</v>
      </c>
      <c r="B37" s="17">
        <v>6640</v>
      </c>
      <c r="C37" s="17">
        <v>6217</v>
      </c>
      <c r="D37" s="17">
        <v>428</v>
      </c>
      <c r="E37" s="17">
        <v>4427</v>
      </c>
      <c r="F37" s="20">
        <f>SUM(B37:E37)</f>
        <v>17712</v>
      </c>
      <c r="G37" s="24">
        <f>F37/29559-1</f>
        <v>-0.40079163706485332</v>
      </c>
      <c r="H37" s="18"/>
      <c r="I37" s="18"/>
      <c r="J37" s="18"/>
      <c r="K37" s="18"/>
      <c r="L37" s="18"/>
      <c r="M37" s="18"/>
      <c r="N37" s="18"/>
    </row>
    <row r="38" spans="1:14" x14ac:dyDescent="0.2">
      <c r="A38" s="12" t="s">
        <v>17</v>
      </c>
      <c r="B38" s="17"/>
      <c r="C38" s="17"/>
      <c r="D38" s="17">
        <v>23294</v>
      </c>
      <c r="E38" s="17"/>
      <c r="F38" s="20">
        <v>23294</v>
      </c>
      <c r="G38" s="24">
        <f>F38/20927-1</f>
        <v>0.11310746882018452</v>
      </c>
      <c r="H38" s="18"/>
      <c r="I38" s="18"/>
      <c r="J38" s="18"/>
      <c r="K38" s="18"/>
      <c r="L38" s="18"/>
      <c r="M38" s="18"/>
      <c r="N38" s="18"/>
    </row>
    <row r="39" spans="1:14" x14ac:dyDescent="0.2">
      <c r="H39" s="18"/>
      <c r="I39" s="18"/>
      <c r="J39" s="18"/>
      <c r="K39" s="18"/>
      <c r="L39" s="18"/>
      <c r="M39" s="18"/>
      <c r="N39" s="18"/>
    </row>
  </sheetData>
  <sheetProtection password="CC4F" sheet="1" objects="1" scenarios="1"/>
  <phoneticPr fontId="4" type="noConversion"/>
  <pageMargins left="0.7" right="0.7" top="0.75" bottom="0.75" header="0.3" footer="0.3"/>
  <pageSetup scale="70" orientation="landscape" r:id="rId1"/>
  <headerFooter alignWithMargins="0">
    <oddHeader>&amp;L&amp;"Arial,Bold"&amp;14CIRCULATION STATISTICS&amp;C&amp;"Arial,Bold"&amp;14January - March 2014</oddHeader>
  </headerFooter>
  <ignoredErrors>
    <ignoredError sqref="G14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8"/>
  <sheetViews>
    <sheetView view="pageLayout" zoomScaleNormal="100" workbookViewId="0">
      <selection activeCell="B32" sqref="B32"/>
    </sheetView>
  </sheetViews>
  <sheetFormatPr defaultRowHeight="12.75" x14ac:dyDescent="0.2"/>
  <cols>
    <col min="1" max="1" width="26.5703125" customWidth="1"/>
    <col min="2" max="2" width="14.85546875" customWidth="1"/>
    <col min="3" max="3" width="16.42578125" customWidth="1"/>
    <col min="4" max="4" width="13.140625" customWidth="1"/>
    <col min="5" max="5" width="12.7109375" customWidth="1"/>
    <col min="6" max="6" width="14.140625" customWidth="1"/>
    <col min="7" max="7" width="14.85546875" customWidth="1"/>
  </cols>
  <sheetData>
    <row r="1" spans="1:14" s="10" customFormat="1" ht="32.25" customHeight="1" x14ac:dyDescent="0.25">
      <c r="A1" s="7" t="s">
        <v>0</v>
      </c>
      <c r="B1" s="8" t="s">
        <v>1</v>
      </c>
      <c r="C1" s="9" t="s">
        <v>2</v>
      </c>
      <c r="D1" s="8" t="s">
        <v>3</v>
      </c>
      <c r="E1" s="8" t="s">
        <v>4</v>
      </c>
      <c r="F1" s="8" t="s">
        <v>18</v>
      </c>
      <c r="G1" s="8" t="s">
        <v>41</v>
      </c>
    </row>
    <row r="2" spans="1:14" s="29" customFormat="1" ht="12.75" customHeight="1" x14ac:dyDescent="0.25">
      <c r="A2" s="30" t="s">
        <v>32</v>
      </c>
      <c r="B2" s="8"/>
      <c r="C2" s="9"/>
      <c r="D2" s="8"/>
      <c r="E2" s="8"/>
      <c r="F2" s="28"/>
      <c r="G2" s="28"/>
    </row>
    <row r="3" spans="1:14" s="29" customFormat="1" ht="12.75" customHeight="1" x14ac:dyDescent="0.25">
      <c r="A3" s="30" t="s">
        <v>44</v>
      </c>
      <c r="B3" s="8"/>
      <c r="C3" s="9"/>
      <c r="D3" s="8"/>
      <c r="E3" s="45">
        <v>23685</v>
      </c>
      <c r="F3" s="48">
        <f>SUM(B3:E3)</f>
        <v>23685</v>
      </c>
      <c r="G3" s="49"/>
    </row>
    <row r="4" spans="1:14" x14ac:dyDescent="0.2">
      <c r="A4" s="12" t="s">
        <v>29</v>
      </c>
      <c r="B4" s="13">
        <v>32244</v>
      </c>
      <c r="C4" s="13">
        <v>20449</v>
      </c>
      <c r="D4" s="13">
        <v>0</v>
      </c>
      <c r="E4" s="13">
        <v>9082</v>
      </c>
      <c r="F4" s="48">
        <f t="shared" ref="F4:F9" si="0">SUM(B4:E4)</f>
        <v>61775</v>
      </c>
      <c r="G4" s="50"/>
    </row>
    <row r="5" spans="1:14" x14ac:dyDescent="0.2">
      <c r="A5" s="14" t="s">
        <v>30</v>
      </c>
      <c r="B5" s="13">
        <v>389</v>
      </c>
      <c r="C5" s="13">
        <v>158</v>
      </c>
      <c r="D5" s="13">
        <v>0</v>
      </c>
      <c r="E5" s="13">
        <v>1970</v>
      </c>
      <c r="F5" s="48">
        <f t="shared" si="0"/>
        <v>2517</v>
      </c>
      <c r="G5" s="50"/>
    </row>
    <row r="6" spans="1:14" x14ac:dyDescent="0.2">
      <c r="A6" s="14" t="s">
        <v>19</v>
      </c>
      <c r="B6" s="13">
        <v>82</v>
      </c>
      <c r="C6" s="13">
        <v>19</v>
      </c>
      <c r="D6" s="13">
        <v>0</v>
      </c>
      <c r="E6" s="13">
        <v>12</v>
      </c>
      <c r="F6" s="48">
        <f t="shared" si="0"/>
        <v>113</v>
      </c>
      <c r="G6" s="50"/>
    </row>
    <row r="7" spans="1:14" x14ac:dyDescent="0.2">
      <c r="A7" s="12" t="s">
        <v>26</v>
      </c>
      <c r="B7" s="1">
        <v>6665</v>
      </c>
      <c r="C7" s="1">
        <v>8272</v>
      </c>
      <c r="D7" s="1">
        <v>357</v>
      </c>
      <c r="E7" s="1">
        <v>0</v>
      </c>
      <c r="F7" s="48">
        <f t="shared" si="0"/>
        <v>15294</v>
      </c>
      <c r="G7" s="51"/>
      <c r="H7" s="18"/>
      <c r="I7" s="18"/>
      <c r="J7" s="18"/>
      <c r="K7" s="18"/>
      <c r="L7" s="18"/>
      <c r="M7" s="18"/>
      <c r="N7" s="18"/>
    </row>
    <row r="8" spans="1:14" x14ac:dyDescent="0.2">
      <c r="A8" s="14" t="s">
        <v>5</v>
      </c>
      <c r="B8" s="13">
        <v>131</v>
      </c>
      <c r="C8" s="13">
        <v>0</v>
      </c>
      <c r="D8" s="13">
        <v>942</v>
      </c>
      <c r="E8" s="13">
        <v>5040</v>
      </c>
      <c r="F8" s="48">
        <f t="shared" si="0"/>
        <v>6113</v>
      </c>
      <c r="G8" s="50"/>
    </row>
    <row r="9" spans="1:14" x14ac:dyDescent="0.2">
      <c r="A9" s="14" t="s">
        <v>31</v>
      </c>
      <c r="B9" s="13">
        <v>2</v>
      </c>
      <c r="C9" s="13"/>
      <c r="D9" s="13"/>
      <c r="E9" s="13">
        <v>5319</v>
      </c>
      <c r="F9" s="48">
        <f t="shared" si="0"/>
        <v>5321</v>
      </c>
      <c r="G9" s="22"/>
      <c r="H9" s="18"/>
      <c r="I9" s="18"/>
      <c r="J9" s="18"/>
      <c r="K9" s="18"/>
      <c r="L9" s="18"/>
      <c r="M9" s="18"/>
      <c r="N9" s="18"/>
    </row>
    <row r="10" spans="1:14" s="5" customFormat="1" x14ac:dyDescent="0.2">
      <c r="A10" s="11" t="s">
        <v>28</v>
      </c>
      <c r="B10" s="6">
        <f>SUM(B3:B9)</f>
        <v>39513</v>
      </c>
      <c r="C10" s="6">
        <f t="shared" ref="C10:F10" si="1">SUM(C3:C9)</f>
        <v>28898</v>
      </c>
      <c r="D10" s="6">
        <f t="shared" si="1"/>
        <v>1299</v>
      </c>
      <c r="E10" s="6">
        <f t="shared" si="1"/>
        <v>45108</v>
      </c>
      <c r="F10" s="6">
        <f t="shared" si="1"/>
        <v>114818</v>
      </c>
      <c r="G10" s="23">
        <f>F10/260227-1</f>
        <v>-0.55877752884981191</v>
      </c>
      <c r="H10" s="18"/>
      <c r="I10" s="18"/>
      <c r="J10" s="18"/>
      <c r="K10" s="18"/>
      <c r="L10" s="18"/>
      <c r="M10" s="18"/>
      <c r="N10" s="18"/>
    </row>
    <row r="11" spans="1:14" x14ac:dyDescent="0.2">
      <c r="A11" s="14"/>
      <c r="B11" s="12"/>
      <c r="C11" s="1"/>
      <c r="D11" s="12"/>
      <c r="E11" s="12"/>
      <c r="F11" s="19"/>
      <c r="G11" s="2"/>
      <c r="H11" s="18"/>
      <c r="I11" s="18"/>
      <c r="J11" s="18"/>
      <c r="K11" s="18"/>
      <c r="L11" s="18"/>
      <c r="M11" s="18"/>
      <c r="N11" s="18"/>
    </row>
    <row r="12" spans="1:14" x14ac:dyDescent="0.2">
      <c r="A12" s="14" t="s">
        <v>33</v>
      </c>
      <c r="B12" s="12"/>
      <c r="C12" s="1"/>
      <c r="D12" s="12"/>
      <c r="E12" s="12"/>
      <c r="F12" s="19"/>
      <c r="G12" s="2"/>
      <c r="H12" s="18"/>
      <c r="I12" s="18"/>
      <c r="J12" s="18"/>
      <c r="K12" s="18"/>
      <c r="L12" s="18"/>
      <c r="M12" s="18"/>
      <c r="N12" s="18"/>
    </row>
    <row r="13" spans="1:14" x14ac:dyDescent="0.2">
      <c r="A13" s="15" t="s">
        <v>6</v>
      </c>
      <c r="B13" s="1">
        <v>2365</v>
      </c>
      <c r="C13" s="1">
        <v>1781</v>
      </c>
      <c r="D13" s="1">
        <v>260</v>
      </c>
      <c r="E13" s="1">
        <v>3072</v>
      </c>
      <c r="F13" s="19">
        <f>SUM(B13:E13)</f>
        <v>7478</v>
      </c>
      <c r="G13" s="24">
        <f>F13/12676-1</f>
        <v>-0.41006626696118653</v>
      </c>
      <c r="H13" s="18"/>
      <c r="I13" s="18"/>
      <c r="J13" s="18"/>
      <c r="K13" s="18"/>
      <c r="L13" s="18"/>
      <c r="M13" s="18"/>
      <c r="N13" s="18"/>
    </row>
    <row r="14" spans="1:14" x14ac:dyDescent="0.2">
      <c r="A14" s="15" t="s">
        <v>35</v>
      </c>
      <c r="B14" s="1">
        <v>2527</v>
      </c>
      <c r="C14" s="1">
        <v>884</v>
      </c>
      <c r="D14" s="1">
        <v>142</v>
      </c>
      <c r="E14" s="1">
        <v>2324</v>
      </c>
      <c r="F14" s="19">
        <f t="shared" ref="F14:F22" si="2">SUM(B14:E14)</f>
        <v>5877</v>
      </c>
      <c r="G14" s="24">
        <f>F14/9063-1</f>
        <v>-0.35153922542204563</v>
      </c>
      <c r="H14" s="18"/>
      <c r="I14" s="18"/>
      <c r="J14" s="18"/>
      <c r="K14" s="18"/>
      <c r="L14" s="18"/>
      <c r="M14" s="18"/>
      <c r="N14" s="18"/>
    </row>
    <row r="15" spans="1:14" x14ac:dyDescent="0.2">
      <c r="A15" s="15" t="s">
        <v>7</v>
      </c>
      <c r="B15" s="1">
        <v>1227</v>
      </c>
      <c r="C15" s="1">
        <v>550</v>
      </c>
      <c r="D15" s="1">
        <v>42</v>
      </c>
      <c r="E15" s="1">
        <v>951</v>
      </c>
      <c r="F15" s="19">
        <f t="shared" si="2"/>
        <v>2770</v>
      </c>
      <c r="G15" s="24">
        <f>F15/4542-1</f>
        <v>-0.39013650374284459</v>
      </c>
      <c r="H15" s="18"/>
      <c r="I15" s="18"/>
      <c r="J15" s="18"/>
      <c r="K15" s="18"/>
      <c r="L15" s="18"/>
      <c r="M15" s="18"/>
      <c r="N15" s="18"/>
    </row>
    <row r="16" spans="1:14" x14ac:dyDescent="0.2">
      <c r="A16" s="15" t="s">
        <v>9</v>
      </c>
      <c r="B16" s="1">
        <v>1821</v>
      </c>
      <c r="C16" s="1">
        <v>865</v>
      </c>
      <c r="D16" s="1">
        <v>573</v>
      </c>
      <c r="E16" s="1">
        <v>2448</v>
      </c>
      <c r="F16" s="19">
        <f t="shared" si="2"/>
        <v>5707</v>
      </c>
      <c r="G16" s="24">
        <f>F16/10220-1</f>
        <v>-0.44158512720156551</v>
      </c>
      <c r="H16" s="18"/>
      <c r="I16" s="18"/>
      <c r="J16" s="18"/>
      <c r="K16" s="18"/>
      <c r="L16" s="18"/>
      <c r="M16" s="18"/>
      <c r="N16" s="18"/>
    </row>
    <row r="17" spans="1:14" x14ac:dyDescent="0.2">
      <c r="A17" s="14" t="s">
        <v>22</v>
      </c>
      <c r="B17" s="1">
        <v>3858</v>
      </c>
      <c r="C17" s="1">
        <v>291</v>
      </c>
      <c r="D17" s="1">
        <v>3001</v>
      </c>
      <c r="E17" s="1">
        <v>2662</v>
      </c>
      <c r="F17" s="19">
        <f t="shared" si="2"/>
        <v>9812</v>
      </c>
      <c r="G17" s="24">
        <f>F17/9896-1</f>
        <v>-8.4882780921584633E-3</v>
      </c>
      <c r="H17" s="18"/>
      <c r="I17" s="18"/>
      <c r="J17" s="18"/>
      <c r="K17" s="18"/>
      <c r="L17" s="18"/>
      <c r="M17" s="18"/>
      <c r="N17" s="18"/>
    </row>
    <row r="18" spans="1:14" x14ac:dyDescent="0.2">
      <c r="A18" s="14" t="s">
        <v>10</v>
      </c>
      <c r="B18" s="1">
        <v>544</v>
      </c>
      <c r="C18" s="1">
        <v>0</v>
      </c>
      <c r="D18" s="1">
        <v>0</v>
      </c>
      <c r="E18" s="1">
        <v>255</v>
      </c>
      <c r="F18" s="19">
        <f t="shared" si="2"/>
        <v>799</v>
      </c>
      <c r="G18" s="24">
        <f>F18/311-1</f>
        <v>1.5691318327974275</v>
      </c>
      <c r="H18" s="18"/>
      <c r="I18" s="18"/>
      <c r="J18" s="18"/>
      <c r="K18" s="18"/>
      <c r="L18" s="18"/>
      <c r="M18" s="18"/>
      <c r="N18" s="18"/>
    </row>
    <row r="19" spans="1:14" x14ac:dyDescent="0.2">
      <c r="A19" s="14" t="s">
        <v>11</v>
      </c>
      <c r="B19" s="1">
        <v>1200</v>
      </c>
      <c r="C19" s="1">
        <v>684</v>
      </c>
      <c r="D19" s="1">
        <v>80</v>
      </c>
      <c r="E19" s="1">
        <v>1065</v>
      </c>
      <c r="F19" s="19">
        <f t="shared" si="2"/>
        <v>3029</v>
      </c>
      <c r="G19" s="24">
        <f>F19/8509-1</f>
        <v>-0.6440239746151134</v>
      </c>
      <c r="H19" s="18"/>
      <c r="I19" s="18"/>
      <c r="J19" s="18"/>
      <c r="K19" s="18"/>
      <c r="L19" s="18"/>
      <c r="M19" s="18"/>
      <c r="N19" s="18"/>
    </row>
    <row r="20" spans="1:14" x14ac:dyDescent="0.2">
      <c r="A20" s="14" t="s">
        <v>8</v>
      </c>
      <c r="B20" s="1">
        <v>1922</v>
      </c>
      <c r="C20" s="1">
        <v>899</v>
      </c>
      <c r="D20" s="1">
        <v>35</v>
      </c>
      <c r="E20" s="1">
        <v>873</v>
      </c>
      <c r="F20" s="19">
        <f t="shared" si="2"/>
        <v>3729</v>
      </c>
      <c r="G20" s="24">
        <f>F20/9364-1</f>
        <v>-0.60177274668944891</v>
      </c>
      <c r="H20" s="18"/>
      <c r="I20" s="18"/>
      <c r="J20" s="18"/>
      <c r="K20" s="18"/>
      <c r="L20" s="18"/>
      <c r="M20" s="18"/>
      <c r="N20" s="18"/>
    </row>
    <row r="21" spans="1:14" x14ac:dyDescent="0.2">
      <c r="A21" s="12" t="s">
        <v>20</v>
      </c>
      <c r="B21" s="1">
        <v>376</v>
      </c>
      <c r="C21" s="1">
        <v>0</v>
      </c>
      <c r="D21" s="1">
        <v>123</v>
      </c>
      <c r="E21" s="1">
        <v>956</v>
      </c>
      <c r="F21" s="19">
        <f t="shared" si="2"/>
        <v>1455</v>
      </c>
      <c r="G21" s="24">
        <f>F21/674-1</f>
        <v>1.1587537091988129</v>
      </c>
      <c r="H21" s="18"/>
      <c r="I21" s="18"/>
      <c r="J21" s="18"/>
      <c r="K21" s="18"/>
      <c r="L21" s="18"/>
      <c r="M21" s="18"/>
      <c r="N21" s="18"/>
    </row>
    <row r="22" spans="1:14" x14ac:dyDescent="0.2">
      <c r="A22" s="12" t="s">
        <v>24</v>
      </c>
      <c r="B22" s="1">
        <v>313</v>
      </c>
      <c r="C22" s="1">
        <v>248</v>
      </c>
      <c r="D22" s="1">
        <v>46</v>
      </c>
      <c r="E22" s="1">
        <v>191</v>
      </c>
      <c r="F22" s="19">
        <f t="shared" si="2"/>
        <v>798</v>
      </c>
      <c r="G22" s="24">
        <f>F22/3520-1</f>
        <v>-0.77329545454545456</v>
      </c>
      <c r="H22" s="18"/>
      <c r="I22" s="18"/>
      <c r="J22" s="18"/>
      <c r="K22" s="18"/>
      <c r="L22" s="18"/>
      <c r="M22" s="18"/>
      <c r="N22" s="18"/>
    </row>
    <row r="23" spans="1:14" s="5" customFormat="1" x14ac:dyDescent="0.2">
      <c r="A23" s="16" t="s">
        <v>23</v>
      </c>
      <c r="B23" s="3">
        <f>SUM(B13:B22)</f>
        <v>16153</v>
      </c>
      <c r="C23" s="3">
        <f t="shared" ref="C23:F23" si="3">SUM(C13:C22)</f>
        <v>6202</v>
      </c>
      <c r="D23" s="3">
        <f t="shared" si="3"/>
        <v>4302</v>
      </c>
      <c r="E23" s="3">
        <f t="shared" si="3"/>
        <v>14797</v>
      </c>
      <c r="F23" s="3">
        <f t="shared" si="3"/>
        <v>41454</v>
      </c>
      <c r="G23" s="21">
        <f>F23/68775-1</f>
        <v>-0.39725190839694657</v>
      </c>
      <c r="H23" s="18"/>
      <c r="I23" s="18"/>
      <c r="J23" s="18"/>
      <c r="K23" s="18"/>
      <c r="L23" s="18"/>
      <c r="M23" s="18"/>
      <c r="N23" s="18"/>
    </row>
    <row r="24" spans="1:14" s="26" customFormat="1" x14ac:dyDescent="0.2">
      <c r="A24" s="25"/>
      <c r="B24" s="20"/>
      <c r="C24" s="20"/>
      <c r="D24" s="20"/>
      <c r="E24" s="20"/>
      <c r="F24" s="19"/>
      <c r="G24" s="24"/>
      <c r="H24" s="18"/>
      <c r="I24" s="18"/>
      <c r="J24" s="18"/>
      <c r="K24" s="18"/>
      <c r="L24" s="18"/>
      <c r="M24" s="18"/>
      <c r="N24" s="18"/>
    </row>
    <row r="25" spans="1:14" s="26" customFormat="1" x14ac:dyDescent="0.2">
      <c r="A25" s="25" t="s">
        <v>34</v>
      </c>
      <c r="B25" s="20"/>
      <c r="C25" s="20"/>
      <c r="D25" s="20"/>
      <c r="E25" s="20"/>
      <c r="F25" s="19"/>
      <c r="G25" s="24"/>
      <c r="H25" s="18"/>
      <c r="I25" s="18"/>
      <c r="J25" s="18"/>
      <c r="K25" s="18"/>
      <c r="L25" s="18"/>
      <c r="M25" s="18"/>
      <c r="N25" s="18"/>
    </row>
    <row r="26" spans="1:14" x14ac:dyDescent="0.2">
      <c r="A26" s="12" t="s">
        <v>27</v>
      </c>
      <c r="B26" s="1">
        <v>3169</v>
      </c>
      <c r="C26" s="1">
        <v>4159</v>
      </c>
      <c r="D26" s="1">
        <v>338</v>
      </c>
      <c r="E26" s="1">
        <v>3830</v>
      </c>
      <c r="F26" s="19">
        <f>SUM(B26:E26)</f>
        <v>11496</v>
      </c>
      <c r="G26" s="24">
        <f>F26/23553-1</f>
        <v>-0.51190931091580683</v>
      </c>
      <c r="H26" s="18"/>
      <c r="I26" s="18"/>
      <c r="J26" s="18"/>
      <c r="K26" s="18"/>
      <c r="L26" s="18"/>
      <c r="M26" s="18"/>
      <c r="N26" s="18"/>
    </row>
    <row r="27" spans="1:14" x14ac:dyDescent="0.2">
      <c r="A27" s="12" t="s">
        <v>21</v>
      </c>
      <c r="B27" s="1">
        <v>1147</v>
      </c>
      <c r="C27" s="1">
        <v>942</v>
      </c>
      <c r="D27" s="1">
        <v>33</v>
      </c>
      <c r="E27" s="1">
        <v>7277</v>
      </c>
      <c r="F27" s="19">
        <f t="shared" ref="F27:F28" si="4">SUM(B27:E27)</f>
        <v>9399</v>
      </c>
      <c r="G27" s="24">
        <f>F27/11558-1</f>
        <v>-0.18679702370652362</v>
      </c>
      <c r="H27" s="18"/>
      <c r="I27" s="18"/>
      <c r="J27" s="18"/>
      <c r="K27" s="18"/>
      <c r="L27" s="18"/>
      <c r="M27" s="18"/>
      <c r="N27" s="18"/>
    </row>
    <row r="28" spans="1:14" x14ac:dyDescent="0.2">
      <c r="A28" s="17" t="s">
        <v>25</v>
      </c>
      <c r="B28" s="1">
        <v>11419</v>
      </c>
      <c r="C28" s="1">
        <v>5013</v>
      </c>
      <c r="D28" s="1">
        <v>11663</v>
      </c>
      <c r="E28" s="1">
        <v>11914</v>
      </c>
      <c r="F28" s="19">
        <f t="shared" si="4"/>
        <v>40009</v>
      </c>
      <c r="G28" s="24">
        <f>F28/46537-1</f>
        <v>-0.14027547972580956</v>
      </c>
      <c r="H28" s="18"/>
      <c r="I28" s="18"/>
      <c r="J28" s="18"/>
      <c r="K28" s="18"/>
      <c r="L28" s="18"/>
      <c r="M28" s="18"/>
      <c r="N28" s="18"/>
    </row>
    <row r="29" spans="1:14" x14ac:dyDescent="0.2">
      <c r="A29" s="31"/>
      <c r="B29" s="31"/>
      <c r="C29" s="31"/>
      <c r="D29" s="31"/>
      <c r="E29" s="31"/>
      <c r="F29" s="19"/>
      <c r="G29" s="31"/>
    </row>
    <row r="30" spans="1:14" s="5" customFormat="1" x14ac:dyDescent="0.2">
      <c r="A30" s="3" t="s">
        <v>12</v>
      </c>
      <c r="B30" s="3">
        <f>SUM(B10+B23+B26+B27+B28)</f>
        <v>71401</v>
      </c>
      <c r="C30" s="3">
        <f t="shared" ref="C30:F30" si="5">SUM(C10+C23+C26+C27+C28)</f>
        <v>45214</v>
      </c>
      <c r="D30" s="3">
        <f t="shared" si="5"/>
        <v>17635</v>
      </c>
      <c r="E30" s="3">
        <f t="shared" si="5"/>
        <v>82926</v>
      </c>
      <c r="F30" s="3">
        <f t="shared" si="5"/>
        <v>217176</v>
      </c>
      <c r="G30" s="4">
        <f>F30/410650-1</f>
        <v>-0.47114087422379158</v>
      </c>
      <c r="H30" s="18"/>
      <c r="I30" s="18"/>
      <c r="J30" s="18"/>
      <c r="K30" s="18"/>
      <c r="L30" s="18"/>
      <c r="M30" s="18"/>
      <c r="N30" s="18"/>
    </row>
    <row r="31" spans="1:14" x14ac:dyDescent="0.2">
      <c r="A31" s="12"/>
      <c r="B31" s="1"/>
      <c r="C31" s="1"/>
      <c r="D31" s="1"/>
      <c r="E31" s="1"/>
      <c r="F31" s="19"/>
      <c r="G31" s="24"/>
      <c r="H31" s="18"/>
      <c r="I31" s="18"/>
      <c r="J31" s="18"/>
      <c r="K31" s="18"/>
      <c r="L31" s="18"/>
      <c r="M31" s="18"/>
      <c r="N31" s="18"/>
    </row>
    <row r="32" spans="1:14" x14ac:dyDescent="0.2">
      <c r="A32" s="12" t="s">
        <v>13</v>
      </c>
      <c r="B32" s="17"/>
      <c r="C32" s="17"/>
      <c r="D32" s="17">
        <v>50111</v>
      </c>
      <c r="E32" s="17"/>
      <c r="F32" s="19">
        <f>SUM(B32:E32)</f>
        <v>50111</v>
      </c>
      <c r="G32" s="24">
        <f>F32/80643-1</f>
        <v>-0.37860694666617067</v>
      </c>
      <c r="H32" s="18"/>
      <c r="I32" s="18"/>
      <c r="J32" s="18"/>
      <c r="K32" s="18"/>
      <c r="L32" s="18"/>
      <c r="M32" s="18"/>
      <c r="N32" s="18"/>
    </row>
    <row r="33" spans="1:14" x14ac:dyDescent="0.2">
      <c r="A33" s="12"/>
      <c r="B33" s="17"/>
      <c r="C33" s="17"/>
      <c r="D33" s="17"/>
      <c r="E33" s="17"/>
      <c r="F33" s="19"/>
      <c r="G33" s="24"/>
      <c r="H33" s="18"/>
      <c r="I33" s="18"/>
      <c r="J33" s="18"/>
      <c r="K33" s="18"/>
      <c r="L33" s="18"/>
      <c r="M33" s="18"/>
      <c r="N33" s="18"/>
    </row>
    <row r="34" spans="1:14" x14ac:dyDescent="0.2">
      <c r="A34" s="12" t="s">
        <v>14</v>
      </c>
      <c r="B34" s="17">
        <v>7032</v>
      </c>
      <c r="C34" s="17">
        <v>4728</v>
      </c>
      <c r="D34" s="17">
        <v>1695</v>
      </c>
      <c r="E34" s="17">
        <v>14480</v>
      </c>
      <c r="F34" s="19">
        <f t="shared" ref="F34:F38" si="6">SUM(B34:E34)</f>
        <v>27935</v>
      </c>
      <c r="G34" s="24">
        <f>F34/37462-1</f>
        <v>-0.25431103518231812</v>
      </c>
      <c r="H34" s="18"/>
      <c r="I34" s="18"/>
      <c r="J34" s="18"/>
      <c r="K34" s="18"/>
      <c r="L34" s="18"/>
      <c r="M34" s="18"/>
      <c r="N34" s="18"/>
    </row>
    <row r="35" spans="1:14" x14ac:dyDescent="0.2">
      <c r="A35" s="12" t="s">
        <v>15</v>
      </c>
      <c r="B35" s="17"/>
      <c r="C35" s="17"/>
      <c r="D35" s="17">
        <v>48089</v>
      </c>
      <c r="E35" s="17"/>
      <c r="F35" s="19">
        <f t="shared" si="6"/>
        <v>48089</v>
      </c>
      <c r="G35" s="24">
        <f>F35/66440-1</f>
        <v>-0.27620409391932566</v>
      </c>
      <c r="H35" s="18"/>
      <c r="I35" s="18"/>
      <c r="J35" s="18"/>
      <c r="K35" s="18"/>
      <c r="L35" s="18"/>
      <c r="M35" s="18"/>
      <c r="N35" s="18"/>
    </row>
    <row r="36" spans="1:14" x14ac:dyDescent="0.2">
      <c r="A36" s="12"/>
      <c r="B36" s="17"/>
      <c r="C36" s="17"/>
      <c r="D36" s="17"/>
      <c r="E36" s="17"/>
      <c r="F36" s="19"/>
      <c r="G36" s="24"/>
      <c r="H36" s="18"/>
      <c r="I36" s="18"/>
      <c r="J36" s="18"/>
      <c r="K36" s="18"/>
      <c r="L36" s="18"/>
      <c r="M36" s="18"/>
      <c r="N36" s="18"/>
    </row>
    <row r="37" spans="1:14" x14ac:dyDescent="0.2">
      <c r="A37" s="12" t="s">
        <v>16</v>
      </c>
      <c r="B37" s="17">
        <v>6066</v>
      </c>
      <c r="C37" s="17">
        <v>4428</v>
      </c>
      <c r="D37" s="17">
        <v>341</v>
      </c>
      <c r="E37" s="17">
        <v>4637</v>
      </c>
      <c r="F37" s="19">
        <f t="shared" si="6"/>
        <v>15472</v>
      </c>
      <c r="G37" s="24">
        <f>F37/19214-1</f>
        <v>-0.19475382533569274</v>
      </c>
      <c r="H37" s="18"/>
      <c r="I37" s="18"/>
      <c r="J37" s="18"/>
      <c r="K37" s="18"/>
      <c r="L37" s="18"/>
      <c r="M37" s="18"/>
      <c r="N37" s="18"/>
    </row>
    <row r="38" spans="1:14" x14ac:dyDescent="0.2">
      <c r="A38" s="12" t="s">
        <v>17</v>
      </c>
      <c r="B38" s="17"/>
      <c r="C38" s="17"/>
      <c r="D38" s="17">
        <v>16868</v>
      </c>
      <c r="E38" s="17"/>
      <c r="F38" s="19">
        <f t="shared" si="6"/>
        <v>16868</v>
      </c>
      <c r="G38" s="24">
        <f>F38/16511-1</f>
        <v>2.1621949003694407E-2</v>
      </c>
      <c r="H38" s="18"/>
      <c r="I38" s="18"/>
      <c r="J38" s="18"/>
      <c r="K38" s="18"/>
      <c r="L38" s="18"/>
      <c r="M38" s="18"/>
      <c r="N38" s="18"/>
    </row>
  </sheetData>
  <sheetProtection password="CC4F" sheet="1" objects="1" scenarios="1"/>
  <pageMargins left="0.7" right="0.7" top="0.75" bottom="0.75" header="0.3" footer="0.3"/>
  <pageSetup scale="70" orientation="landscape" r:id="rId1"/>
  <headerFooter alignWithMargins="0">
    <oddHeader>&amp;L&amp;"Arial,Bold"&amp;14CIRCULATION STATISTICS&amp;C&amp;"Arial,Bold"&amp;14April - June  2014</oddHeader>
  </headerFooter>
  <ignoredErrors>
    <ignoredError sqref="F8:F9 F3:F7" unlocked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N38"/>
  <sheetViews>
    <sheetView view="pageLayout" zoomScaleNormal="100" workbookViewId="0">
      <selection activeCell="F1" sqref="F1"/>
    </sheetView>
  </sheetViews>
  <sheetFormatPr defaultRowHeight="12.75" x14ac:dyDescent="0.2"/>
  <cols>
    <col min="1" max="1" width="26.5703125" customWidth="1"/>
    <col min="2" max="2" width="14.85546875" customWidth="1"/>
    <col min="3" max="3" width="16.42578125" customWidth="1"/>
    <col min="4" max="4" width="13.140625" customWidth="1"/>
    <col min="5" max="5" width="12.7109375" customWidth="1"/>
    <col min="6" max="6" width="14.140625" customWidth="1"/>
    <col min="7" max="7" width="14.85546875" customWidth="1"/>
    <col min="8" max="8" width="19.7109375" customWidth="1"/>
  </cols>
  <sheetData>
    <row r="1" spans="1:14" s="10" customFormat="1" ht="32.25" customHeight="1" x14ac:dyDescent="0.25">
      <c r="A1" s="7" t="s">
        <v>0</v>
      </c>
      <c r="B1" s="8" t="s">
        <v>1</v>
      </c>
      <c r="C1" s="9" t="s">
        <v>2</v>
      </c>
      <c r="D1" s="8" t="s">
        <v>3</v>
      </c>
      <c r="E1" s="8" t="s">
        <v>4</v>
      </c>
      <c r="F1" s="8" t="s">
        <v>38</v>
      </c>
      <c r="G1" s="8" t="s">
        <v>41</v>
      </c>
      <c r="H1" s="59" t="s">
        <v>48</v>
      </c>
      <c r="I1" s="52"/>
    </row>
    <row r="2" spans="1:14" s="29" customFormat="1" ht="12.75" customHeight="1" x14ac:dyDescent="0.25">
      <c r="A2" s="30" t="s">
        <v>32</v>
      </c>
      <c r="B2" s="8"/>
      <c r="C2" s="9"/>
      <c r="D2" s="8"/>
      <c r="E2" s="8"/>
      <c r="F2" s="28"/>
      <c r="G2" s="28"/>
      <c r="H2" s="53"/>
    </row>
    <row r="3" spans="1:14" s="29" customFormat="1" ht="12.75" customHeight="1" x14ac:dyDescent="0.25">
      <c r="A3" s="30" t="s">
        <v>43</v>
      </c>
      <c r="B3" s="8"/>
      <c r="C3" s="9"/>
      <c r="D3" s="8"/>
      <c r="E3" s="45">
        <f>SUM('Jul-Sep 2013'!E3+'Oct-Dec 2013'!E3+'Jan-Mar 2014'!E3+'Apr-Jun 2014'!E3)</f>
        <v>106617</v>
      </c>
      <c r="F3" s="28"/>
      <c r="G3" s="28"/>
      <c r="H3" s="53"/>
    </row>
    <row r="4" spans="1:14" x14ac:dyDescent="0.2">
      <c r="A4" s="12" t="s">
        <v>29</v>
      </c>
      <c r="B4" s="13">
        <f>'Jul-Sep 2013'!B4+'Jan-Mar 2014'!B4+'Oct-Dec 2013'!B4+'Apr-Jun 2014'!B4</f>
        <v>166242</v>
      </c>
      <c r="C4" s="13">
        <f>'Jul-Sep 2013'!C4+'Jan-Mar 2014'!C4+'Oct-Dec 2013'!C4+'Apr-Jun 2014'!C4</f>
        <v>230289</v>
      </c>
      <c r="D4" s="13">
        <f>'Jul-Sep 2013'!D4+'Jan-Mar 2014'!D4+'Oct-Dec 2013'!D4+'Apr-Jun 2014'!D4</f>
        <v>0</v>
      </c>
      <c r="E4" s="13">
        <f>'Jul-Sep 2013'!E4+'Jan-Mar 2014'!E4+'Oct-Dec 2013'!E4+'Apr-Jun 2014'!E4</f>
        <v>60034</v>
      </c>
      <c r="F4" s="13">
        <f>'Jul-Sep 2013'!F4+'Jan-Mar 2014'!F4+'Oct-Dec 2013'!F4+'Apr-Jun 2014'!F4</f>
        <v>456565</v>
      </c>
      <c r="G4" s="32"/>
      <c r="H4" s="54">
        <f>B4/175472-1</f>
        <v>-5.2600984772499304E-2</v>
      </c>
    </row>
    <row r="5" spans="1:14" x14ac:dyDescent="0.2">
      <c r="A5" s="14" t="s">
        <v>30</v>
      </c>
      <c r="B5" s="13">
        <f>'Jul-Sep 2013'!B5+'Jan-Mar 2014'!B5+'Oct-Dec 2013'!B5+'Apr-Jun 2014'!B5</f>
        <v>2312</v>
      </c>
      <c r="C5" s="13">
        <f>'Jul-Sep 2013'!C5+'Jan-Mar 2014'!C5+'Oct-Dec 2013'!C5+'Apr-Jun 2014'!C5</f>
        <v>2000</v>
      </c>
      <c r="D5" s="13">
        <f>'Jul-Sep 2013'!D5+'Jan-Mar 2014'!D5+'Oct-Dec 2013'!D5+'Apr-Jun 2014'!D5</f>
        <v>0</v>
      </c>
      <c r="E5" s="13">
        <f>'Jul-Sep 2013'!E5+'Jan-Mar 2014'!E5+'Oct-Dec 2013'!E5+'Apr-Jun 2014'!E5</f>
        <v>5530</v>
      </c>
      <c r="F5" s="13">
        <f>'Jul-Sep 2013'!F5+'Jan-Mar 2014'!F5+'Oct-Dec 2013'!F5+'Apr-Jun 2014'!F5</f>
        <v>9842</v>
      </c>
      <c r="G5" s="32"/>
      <c r="H5" s="54">
        <f>B5/3579-1</f>
        <v>-0.35400949986029617</v>
      </c>
    </row>
    <row r="6" spans="1:14" x14ac:dyDescent="0.2">
      <c r="A6" s="14" t="s">
        <v>19</v>
      </c>
      <c r="B6" s="13">
        <f>'Jul-Sep 2013'!B6+'Jan-Mar 2014'!B6+'Oct-Dec 2013'!B6+'Apr-Jun 2014'!B6</f>
        <v>705</v>
      </c>
      <c r="C6" s="13">
        <f>'Jul-Sep 2013'!C6+'Jan-Mar 2014'!C6+'Oct-Dec 2013'!C6+'Apr-Jun 2014'!C6</f>
        <v>1649</v>
      </c>
      <c r="D6" s="13">
        <f>'Jul-Sep 2013'!D6+'Jan-Mar 2014'!D6+'Oct-Dec 2013'!D6+'Apr-Jun 2014'!D6</f>
        <v>0</v>
      </c>
      <c r="E6" s="13">
        <f>'Jul-Sep 2013'!E6+'Jan-Mar 2014'!E6+'Oct-Dec 2013'!E6+'Apr-Jun 2014'!E6</f>
        <v>81</v>
      </c>
      <c r="F6" s="13">
        <f>'Jul-Sep 2013'!F6+'Jan-Mar 2014'!F6+'Oct-Dec 2013'!F6+'Apr-Jun 2014'!F6</f>
        <v>2435</v>
      </c>
      <c r="G6" s="32"/>
      <c r="H6" s="54">
        <f>B6/538-1</f>
        <v>0.31040892193308545</v>
      </c>
    </row>
    <row r="7" spans="1:14" x14ac:dyDescent="0.2">
      <c r="A7" s="12" t="s">
        <v>26</v>
      </c>
      <c r="B7" s="13">
        <f>'Jul-Sep 2013'!B7+'Jan-Mar 2014'!B7+'Oct-Dec 2013'!B7+'Apr-Jun 2014'!B7</f>
        <v>27679</v>
      </c>
      <c r="C7" s="13">
        <f>'Jul-Sep 2013'!C7+'Jan-Mar 2014'!C7+'Oct-Dec 2013'!C7+'Apr-Jun 2014'!C7</f>
        <v>42553</v>
      </c>
      <c r="D7" s="13">
        <f>'Jul-Sep 2013'!D7+'Jan-Mar 2014'!D7+'Oct-Dec 2013'!D7+'Apr-Jun 2014'!D7</f>
        <v>1851</v>
      </c>
      <c r="E7" s="13">
        <f>'Jul-Sep 2013'!E7+'Jan-Mar 2014'!E7+'Oct-Dec 2013'!E7+'Apr-Jun 2014'!E7</f>
        <v>6</v>
      </c>
      <c r="F7" s="13">
        <f>'Jul-Sep 2013'!F7+'Jan-Mar 2014'!F7+'Oct-Dec 2013'!F7+'Apr-Jun 2014'!F7</f>
        <v>72089</v>
      </c>
      <c r="G7" s="32"/>
      <c r="H7" s="54">
        <f>B7/39875-1</f>
        <v>-0.30585579937304075</v>
      </c>
      <c r="I7" s="18"/>
      <c r="J7" s="18"/>
      <c r="K7" s="18"/>
      <c r="L7" s="18"/>
      <c r="M7" s="18"/>
      <c r="N7" s="18"/>
    </row>
    <row r="8" spans="1:14" x14ac:dyDescent="0.2">
      <c r="A8" s="14" t="s">
        <v>5</v>
      </c>
      <c r="B8" s="13">
        <f>'Jul-Sep 2013'!B8+'Jan-Mar 2014'!B8+'Oct-Dec 2013'!B8+'Apr-Jun 2014'!B8</f>
        <v>1510</v>
      </c>
      <c r="C8" s="13">
        <f>'Jul-Sep 2013'!C8+'Jan-Mar 2014'!C8+'Oct-Dec 2013'!C8+'Apr-Jun 2014'!C8</f>
        <v>0</v>
      </c>
      <c r="D8" s="13">
        <f>'Jul-Sep 2013'!D8+'Jan-Mar 2014'!D8+'Oct-Dec 2013'!D8+'Apr-Jun 2014'!D8</f>
        <v>2541</v>
      </c>
      <c r="E8" s="13">
        <f>'Jul-Sep 2013'!E8+'Jan-Mar 2014'!E8+'Oct-Dec 2013'!E8+'Apr-Jun 2014'!E8</f>
        <v>17897</v>
      </c>
      <c r="F8" s="13">
        <f>'Jul-Sep 2013'!F8+'Jan-Mar 2014'!F8+'Oct-Dec 2013'!F8+'Apr-Jun 2014'!F8</f>
        <v>21948</v>
      </c>
      <c r="G8" s="32"/>
      <c r="H8" s="54">
        <f>B8/1585-1</f>
        <v>-4.7318611987381742E-2</v>
      </c>
    </row>
    <row r="9" spans="1:14" x14ac:dyDescent="0.2">
      <c r="A9" s="14" t="s">
        <v>31</v>
      </c>
      <c r="B9" s="13">
        <f>'Jul-Sep 2013'!B9+'Jan-Mar 2014'!B9+'Oct-Dec 2013'!B9+'Apr-Jun 2014'!B9</f>
        <v>35</v>
      </c>
      <c r="C9" s="13">
        <f>'Jul-Sep 2013'!C9+'Jan-Mar 2014'!C9+'Oct-Dec 2013'!C9+'Apr-Jun 2014'!C9</f>
        <v>0</v>
      </c>
      <c r="D9" s="13">
        <f>'Jul-Sep 2013'!D9+'Jan-Mar 2014'!D9+'Oct-Dec 2013'!D9+'Apr-Jun 2014'!D9</f>
        <v>0</v>
      </c>
      <c r="E9" s="13">
        <f>'Jul-Sep 2013'!E9+'Jan-Mar 2014'!E9+'Oct-Dec 2013'!E9+'Apr-Jun 2014'!E9</f>
        <v>24654</v>
      </c>
      <c r="F9" s="13">
        <f>'Jul-Sep 2013'!F9+'Jan-Mar 2014'!F9+'Oct-Dec 2013'!F9+'Apr-Jun 2014'!F9</f>
        <v>24689</v>
      </c>
      <c r="G9" s="32"/>
      <c r="H9" s="55"/>
      <c r="I9" s="18"/>
      <c r="J9" s="18"/>
      <c r="K9" s="18"/>
      <c r="L9" s="18"/>
      <c r="M9" s="18"/>
      <c r="N9" s="18"/>
    </row>
    <row r="10" spans="1:14" s="5" customFormat="1" x14ac:dyDescent="0.2">
      <c r="A10" s="33" t="s">
        <v>28</v>
      </c>
      <c r="B10" s="34">
        <f>'Jul-Sep 2013'!B10+'Jan-Mar 2014'!B10+'Oct-Dec 2013'!B10+'Apr-Jun 2014'!B10</f>
        <v>198483</v>
      </c>
      <c r="C10" s="34">
        <f>'Jul-Sep 2013'!C10+'Jan-Mar 2014'!C10+'Oct-Dec 2013'!C10+'Apr-Jun 2014'!C10</f>
        <v>276491</v>
      </c>
      <c r="D10" s="34">
        <f>'Jul-Sep 2013'!D10+'Jan-Mar 2014'!D10+'Oct-Dec 2013'!D10+'Apr-Jun 2014'!D10</f>
        <v>4392</v>
      </c>
      <c r="E10" s="34">
        <f>'Jul-Sep 2013'!E10+'Jan-Mar 2014'!E10+'Oct-Dec 2013'!E10+'Apr-Jun 2014'!E10</f>
        <v>186394</v>
      </c>
      <c r="F10" s="34">
        <f>'Jul-Sep 2013'!F10+'Jan-Mar 2014'!F10+'Oct-Dec 2013'!F10+'Apr-Jun 2014'!F10</f>
        <v>665760</v>
      </c>
      <c r="G10" s="35">
        <f>F10/1071677-1</f>
        <v>-0.37876804298310029</v>
      </c>
      <c r="H10" s="58">
        <f>B10/221180-1</f>
        <v>-0.10261777737589295</v>
      </c>
      <c r="I10" s="18"/>
      <c r="J10" s="18"/>
      <c r="K10" s="18"/>
      <c r="L10" s="18"/>
      <c r="M10" s="18"/>
      <c r="N10" s="18"/>
    </row>
    <row r="11" spans="1:14" x14ac:dyDescent="0.2">
      <c r="A11" s="14"/>
      <c r="B11" s="13"/>
      <c r="C11" s="1"/>
      <c r="D11" s="12"/>
      <c r="E11" s="12"/>
      <c r="F11" s="1"/>
      <c r="G11" s="2"/>
      <c r="H11" s="56"/>
      <c r="I11" s="18"/>
      <c r="J11" s="18"/>
      <c r="K11" s="18"/>
      <c r="L11" s="18"/>
      <c r="M11" s="18"/>
      <c r="N11" s="18"/>
    </row>
    <row r="12" spans="1:14" x14ac:dyDescent="0.2">
      <c r="A12" s="14" t="s">
        <v>33</v>
      </c>
      <c r="B12" s="13"/>
      <c r="C12" s="1"/>
      <c r="D12" s="12"/>
      <c r="E12" s="12"/>
      <c r="F12" s="1"/>
      <c r="G12" s="2"/>
      <c r="H12" s="56"/>
      <c r="I12" s="18"/>
      <c r="J12" s="18"/>
      <c r="K12" s="18"/>
      <c r="L12" s="18"/>
      <c r="M12" s="18"/>
      <c r="N12" s="18"/>
    </row>
    <row r="13" spans="1:14" x14ac:dyDescent="0.2">
      <c r="A13" s="15" t="s">
        <v>6</v>
      </c>
      <c r="B13" s="13">
        <f>'Jul-Sep 2013'!B13+'Jan-Mar 2014'!B13+'Oct-Dec 2013'!B13+'Apr-Jun 2014'!B13</f>
        <v>10965</v>
      </c>
      <c r="C13" s="13">
        <f>'Jul-Sep 2013'!C13+'Jan-Mar 2014'!C13+'Oct-Dec 2013'!C13+'Apr-Jun 2014'!C13</f>
        <v>14558</v>
      </c>
      <c r="D13" s="13">
        <f>'Jul-Sep 2013'!D13+'Jan-Mar 2014'!D13+'Oct-Dec 2013'!D13+'Apr-Jun 2014'!D13</f>
        <v>1084</v>
      </c>
      <c r="E13" s="13">
        <f>'Jul-Sep 2013'!E13+'Jan-Mar 2014'!E13+'Oct-Dec 2013'!E13+'Apr-Jun 2014'!E13</f>
        <v>10361</v>
      </c>
      <c r="F13" s="13">
        <f>'Jul-Sep 2013'!F13+'Jan-Mar 2014'!F13+'Oct-Dec 2013'!F13+'Apr-Jun 2014'!F13</f>
        <v>36968</v>
      </c>
      <c r="G13" s="32">
        <f>F13/53180-1</f>
        <v>-0.30485144791274921</v>
      </c>
      <c r="H13" s="57">
        <f>B13/12994-1</f>
        <v>-0.15614899184238884</v>
      </c>
      <c r="I13" s="18"/>
      <c r="J13" s="18"/>
      <c r="K13" s="18"/>
      <c r="L13" s="18"/>
      <c r="M13" s="18"/>
      <c r="N13" s="18"/>
    </row>
    <row r="14" spans="1:14" x14ac:dyDescent="0.2">
      <c r="A14" s="15" t="s">
        <v>36</v>
      </c>
      <c r="B14" s="13">
        <f>'Jul-Sep 2013'!B14+'Jan-Mar 2014'!B14+'Oct-Dec 2013'!B14+'Apr-Jun 2014'!B14</f>
        <v>10037</v>
      </c>
      <c r="C14" s="13">
        <f>'Jul-Sep 2013'!C14+'Jan-Mar 2014'!C14+'Oct-Dec 2013'!C14+'Apr-Jun 2014'!C14</f>
        <v>6791</v>
      </c>
      <c r="D14" s="13">
        <f>'Jul-Sep 2013'!D14+'Jan-Mar 2014'!D14+'Oct-Dec 2013'!D14+'Apr-Jun 2014'!D14</f>
        <v>523</v>
      </c>
      <c r="E14" s="13">
        <f>'Jul-Sep 2013'!E14+'Jan-Mar 2014'!E14+'Oct-Dec 2013'!E14+'Apr-Jun 2014'!E14</f>
        <v>8261</v>
      </c>
      <c r="F14" s="13">
        <f>'Jul-Sep 2013'!F14+'Jan-Mar 2014'!F14+'Oct-Dec 2013'!F14+'Apr-Jun 2014'!F14</f>
        <v>25612</v>
      </c>
      <c r="G14" s="32">
        <f>F14/36228-1</f>
        <v>-0.29303301313900854</v>
      </c>
      <c r="H14" s="57">
        <f>B14/12445-1</f>
        <v>-0.19349136199276817</v>
      </c>
      <c r="I14" s="18"/>
      <c r="J14" s="18"/>
      <c r="K14" s="18"/>
      <c r="L14" s="18"/>
      <c r="M14" s="18"/>
      <c r="N14" s="18"/>
    </row>
    <row r="15" spans="1:14" x14ac:dyDescent="0.2">
      <c r="A15" s="15" t="s">
        <v>7</v>
      </c>
      <c r="B15" s="13">
        <f>'Jul-Sep 2013'!B15+'Jan-Mar 2014'!B15+'Oct-Dec 2013'!B15+'Apr-Jun 2014'!B15</f>
        <v>5371</v>
      </c>
      <c r="C15" s="13">
        <f>'Jul-Sep 2013'!C15+'Jan-Mar 2014'!C15+'Oct-Dec 2013'!C15+'Apr-Jun 2014'!C15</f>
        <v>4836</v>
      </c>
      <c r="D15" s="13">
        <f>'Jul-Sep 2013'!D15+'Jan-Mar 2014'!D15+'Oct-Dec 2013'!D15+'Apr-Jun 2014'!D15</f>
        <v>153</v>
      </c>
      <c r="E15" s="13">
        <f>'Jul-Sep 2013'!E15+'Jan-Mar 2014'!E15+'Oct-Dec 2013'!E15+'Apr-Jun 2014'!E15</f>
        <v>3433</v>
      </c>
      <c r="F15" s="13">
        <f>'Jul-Sep 2013'!F15+'Jan-Mar 2014'!F15+'Oct-Dec 2013'!F15+'Apr-Jun 2014'!F15</f>
        <v>13793</v>
      </c>
      <c r="G15" s="32">
        <f>F15/20298-1</f>
        <v>-0.32047492363779684</v>
      </c>
      <c r="H15" s="57">
        <f>B15/7384-1</f>
        <v>-0.2726164680390033</v>
      </c>
      <c r="I15" s="18"/>
      <c r="J15" s="18"/>
      <c r="K15" s="18"/>
      <c r="L15" s="18"/>
      <c r="M15" s="18"/>
      <c r="N15" s="18"/>
    </row>
    <row r="16" spans="1:14" x14ac:dyDescent="0.2">
      <c r="A16" s="15" t="s">
        <v>9</v>
      </c>
      <c r="B16" s="13">
        <f>'Jul-Sep 2013'!B16+'Jan-Mar 2014'!B16+'Oct-Dec 2013'!B16+'Apr-Jun 2014'!B16</f>
        <v>9174</v>
      </c>
      <c r="C16" s="13">
        <f>'Jul-Sep 2013'!C16+'Jan-Mar 2014'!C16+'Oct-Dec 2013'!C16+'Apr-Jun 2014'!C16</f>
        <v>8124</v>
      </c>
      <c r="D16" s="13">
        <f>'Jul-Sep 2013'!D16+'Jan-Mar 2014'!D16+'Oct-Dec 2013'!D16+'Apr-Jun 2014'!D16</f>
        <v>1614</v>
      </c>
      <c r="E16" s="13">
        <f>'Jul-Sep 2013'!E16+'Jan-Mar 2014'!E16+'Oct-Dec 2013'!E16+'Apr-Jun 2014'!E16</f>
        <v>11560</v>
      </c>
      <c r="F16" s="13">
        <f>'Jul-Sep 2013'!F16+'Jan-Mar 2014'!F16+'Oct-Dec 2013'!F16+'Apr-Jun 2014'!F16</f>
        <v>30472</v>
      </c>
      <c r="G16" s="32">
        <f>F16/42763-1</f>
        <v>-0.28742136894043913</v>
      </c>
      <c r="H16" s="57">
        <f>B16/12960-1</f>
        <v>-0.29212962962962963</v>
      </c>
      <c r="I16" s="18"/>
      <c r="J16" s="18"/>
      <c r="K16" s="18"/>
      <c r="L16" s="18"/>
      <c r="M16" s="18"/>
      <c r="N16" s="18"/>
    </row>
    <row r="17" spans="1:14" x14ac:dyDescent="0.2">
      <c r="A17" s="14" t="s">
        <v>22</v>
      </c>
      <c r="B17" s="13">
        <f>'Jul-Sep 2013'!B17+'Jan-Mar 2014'!B17+'Oct-Dec 2013'!B17+'Apr-Jun 2014'!B17</f>
        <v>14040</v>
      </c>
      <c r="C17" s="13">
        <f>'Jul-Sep 2013'!C17+'Jan-Mar 2014'!C17+'Oct-Dec 2013'!C17+'Apr-Jun 2014'!C17</f>
        <v>2657</v>
      </c>
      <c r="D17" s="13">
        <f>'Jul-Sep 2013'!D17+'Jan-Mar 2014'!D17+'Oct-Dec 2013'!D17+'Apr-Jun 2014'!D17</f>
        <v>8548</v>
      </c>
      <c r="E17" s="13">
        <f>'Jul-Sep 2013'!E17+'Jan-Mar 2014'!E17+'Oct-Dec 2013'!E17+'Apr-Jun 2014'!E17</f>
        <v>9741</v>
      </c>
      <c r="F17" s="13">
        <f>'Jul-Sep 2013'!F17+'Jan-Mar 2014'!F17+'Oct-Dec 2013'!F17+'Apr-Jun 2014'!F17</f>
        <v>34986</v>
      </c>
      <c r="G17" s="32">
        <f>F17/34201-1</f>
        <v>2.2952545247215017E-2</v>
      </c>
      <c r="H17" s="57">
        <f>B17/16088-1</f>
        <v>-0.12729985082048734</v>
      </c>
      <c r="I17" s="18"/>
      <c r="J17" s="18"/>
      <c r="K17" s="18"/>
      <c r="L17" s="18"/>
      <c r="M17" s="18"/>
      <c r="N17" s="18"/>
    </row>
    <row r="18" spans="1:14" x14ac:dyDescent="0.2">
      <c r="A18" s="14" t="s">
        <v>10</v>
      </c>
      <c r="B18" s="13">
        <f>'Jul-Sep 2013'!B18+'Jan-Mar 2014'!B18+'Oct-Dec 2013'!B18+'Apr-Jun 2014'!B18</f>
        <v>887</v>
      </c>
      <c r="C18" s="13">
        <f>'Jul-Sep 2013'!C18+'Jan-Mar 2014'!C18+'Oct-Dec 2013'!C18+'Apr-Jun 2014'!C18</f>
        <v>0</v>
      </c>
      <c r="D18" s="13">
        <f>'Jul-Sep 2013'!D18+'Jan-Mar 2014'!D18+'Oct-Dec 2013'!D18+'Apr-Jun 2014'!D18</f>
        <v>0</v>
      </c>
      <c r="E18" s="13">
        <f>'Jul-Sep 2013'!E18+'Jan-Mar 2014'!E18+'Oct-Dec 2013'!E18+'Apr-Jun 2014'!E18</f>
        <v>482</v>
      </c>
      <c r="F18" s="13">
        <f>'Jul-Sep 2013'!F18+'Jan-Mar 2014'!F18+'Oct-Dec 2013'!F18+'Apr-Jun 2014'!F18</f>
        <v>1369</v>
      </c>
      <c r="G18" s="32">
        <f>F18/1065-1</f>
        <v>0.28544600938967135</v>
      </c>
      <c r="H18" s="57">
        <f>B18/823-1</f>
        <v>7.7764277035236917E-2</v>
      </c>
      <c r="I18" s="18"/>
      <c r="J18" s="18"/>
      <c r="K18" s="18"/>
      <c r="L18" s="18"/>
      <c r="M18" s="18"/>
      <c r="N18" s="18"/>
    </row>
    <row r="19" spans="1:14" x14ac:dyDescent="0.2">
      <c r="A19" s="14" t="s">
        <v>11</v>
      </c>
      <c r="B19" s="13">
        <f>'Jul-Sep 2013'!B19+'Jan-Mar 2014'!B19+'Oct-Dec 2013'!B19+'Apr-Jun 2014'!B19</f>
        <v>6107</v>
      </c>
      <c r="C19" s="13">
        <f>'Jul-Sep 2013'!C19+'Jan-Mar 2014'!C19+'Oct-Dec 2013'!C19+'Apr-Jun 2014'!C19</f>
        <v>6828</v>
      </c>
      <c r="D19" s="13">
        <f>'Jul-Sep 2013'!D19+'Jan-Mar 2014'!D19+'Oct-Dec 2013'!D19+'Apr-Jun 2014'!D19</f>
        <v>415</v>
      </c>
      <c r="E19" s="13">
        <f>'Jul-Sep 2013'!E19+'Jan-Mar 2014'!E19+'Oct-Dec 2013'!E19+'Apr-Jun 2014'!E19</f>
        <v>4678</v>
      </c>
      <c r="F19" s="13">
        <f>'Jul-Sep 2013'!F19+'Jan-Mar 2014'!F19+'Oct-Dec 2013'!F19+'Apr-Jun 2014'!F19</f>
        <v>18028</v>
      </c>
      <c r="G19" s="32">
        <f>F19/30719-1</f>
        <v>-0.41313193788860314</v>
      </c>
      <c r="H19" s="57">
        <f>B19/6904-1</f>
        <v>-0.1154403244495944</v>
      </c>
      <c r="I19" s="18"/>
      <c r="J19" s="18"/>
      <c r="K19" s="18"/>
      <c r="L19" s="18"/>
      <c r="M19" s="18"/>
      <c r="N19" s="18"/>
    </row>
    <row r="20" spans="1:14" x14ac:dyDescent="0.2">
      <c r="A20" s="14" t="s">
        <v>8</v>
      </c>
      <c r="B20" s="13">
        <f>'Jul-Sep 2013'!B20+'Jan-Mar 2014'!B20+'Oct-Dec 2013'!B20+'Apr-Jun 2014'!B20</f>
        <v>8934</v>
      </c>
      <c r="C20" s="13">
        <f>'Jul-Sep 2013'!C20+'Jan-Mar 2014'!C20+'Oct-Dec 2013'!C20+'Apr-Jun 2014'!C20</f>
        <v>8774</v>
      </c>
      <c r="D20" s="13">
        <f>'Jul-Sep 2013'!D20+'Jan-Mar 2014'!D20+'Oct-Dec 2013'!D20+'Apr-Jun 2014'!D20</f>
        <v>170</v>
      </c>
      <c r="E20" s="13">
        <f>'Jul-Sep 2013'!E20+'Jan-Mar 2014'!E20+'Oct-Dec 2013'!E20+'Apr-Jun 2014'!E20</f>
        <v>6451</v>
      </c>
      <c r="F20" s="13">
        <f>'Jul-Sep 2013'!F20+'Jan-Mar 2014'!F20+'Oct-Dec 2013'!F20+'Apr-Jun 2014'!F20</f>
        <v>24329</v>
      </c>
      <c r="G20" s="32">
        <f>F20/40107-1</f>
        <v>-0.39339766125613984</v>
      </c>
      <c r="H20" s="57">
        <f>B20/13026-1</f>
        <v>-0.3141409488714878</v>
      </c>
      <c r="I20" s="18"/>
      <c r="J20" s="18"/>
      <c r="K20" s="18"/>
      <c r="L20" s="18"/>
      <c r="M20" s="18"/>
      <c r="N20" s="18"/>
    </row>
    <row r="21" spans="1:14" x14ac:dyDescent="0.2">
      <c r="A21" s="12" t="s">
        <v>20</v>
      </c>
      <c r="B21" s="13">
        <f>'Jul-Sep 2013'!B21+'Jan-Mar 2014'!B21+'Oct-Dec 2013'!B21+'Apr-Jun 2014'!B21</f>
        <v>1318</v>
      </c>
      <c r="C21" s="13">
        <f>'Jul-Sep 2013'!C21+'Jan-Mar 2014'!C21+'Oct-Dec 2013'!C21+'Apr-Jun 2014'!C21</f>
        <v>32</v>
      </c>
      <c r="D21" s="13">
        <f>'Jul-Sep 2013'!D21+'Jan-Mar 2014'!D21+'Oct-Dec 2013'!D21+'Apr-Jun 2014'!D21</f>
        <v>674</v>
      </c>
      <c r="E21" s="13">
        <f>'Jul-Sep 2013'!E21+'Jan-Mar 2014'!E21+'Oct-Dec 2013'!E21+'Apr-Jun 2014'!E21</f>
        <v>1983</v>
      </c>
      <c r="F21" s="13">
        <f>'Jul-Sep 2013'!F21+'Jan-Mar 2014'!F21+'Oct-Dec 2013'!F21+'Apr-Jun 2014'!F21</f>
        <v>4007</v>
      </c>
      <c r="G21" s="32">
        <f>F21/2950-1</f>
        <v>0.35830508474576273</v>
      </c>
      <c r="H21" s="57">
        <f>B21/1507-1</f>
        <v>-0.12541473125414726</v>
      </c>
      <c r="I21" s="18"/>
      <c r="J21" s="18"/>
      <c r="K21" s="18"/>
      <c r="L21" s="18"/>
      <c r="M21" s="18"/>
      <c r="N21" s="18"/>
    </row>
    <row r="22" spans="1:14" x14ac:dyDescent="0.2">
      <c r="A22" s="12" t="s">
        <v>24</v>
      </c>
      <c r="B22" s="13">
        <f>'Jul-Sep 2013'!B22+'Jan-Mar 2014'!B22+'Oct-Dec 2013'!B22+'Apr-Jun 2014'!B22</f>
        <v>2480</v>
      </c>
      <c r="C22" s="13">
        <f>'Jul-Sep 2013'!C22+'Jan-Mar 2014'!C22+'Oct-Dec 2013'!C22+'Apr-Jun 2014'!C22</f>
        <v>3697</v>
      </c>
      <c r="D22" s="13">
        <f>'Jul-Sep 2013'!D22+'Jan-Mar 2014'!D22+'Oct-Dec 2013'!D22+'Apr-Jun 2014'!D22</f>
        <v>342</v>
      </c>
      <c r="E22" s="13">
        <f>'Jul-Sep 2013'!E22+'Jan-Mar 2014'!E22+'Oct-Dec 2013'!E22+'Apr-Jun 2014'!E22</f>
        <v>1779</v>
      </c>
      <c r="F22" s="13">
        <f>'Jul-Sep 2013'!F22+'Jan-Mar 2014'!F22+'Oct-Dec 2013'!F22+'Apr-Jun 2014'!F22</f>
        <v>8298</v>
      </c>
      <c r="G22" s="32">
        <f>F22/14800-1</f>
        <v>-0.43932432432432433</v>
      </c>
      <c r="H22" s="57">
        <f>B22/2195-1</f>
        <v>0.12984054669703871</v>
      </c>
      <c r="I22" s="18"/>
      <c r="J22" s="18"/>
      <c r="K22" s="18"/>
      <c r="L22" s="18"/>
      <c r="M22" s="18"/>
      <c r="N22" s="18"/>
    </row>
    <row r="23" spans="1:14" s="5" customFormat="1" x14ac:dyDescent="0.2">
      <c r="A23" s="36" t="s">
        <v>23</v>
      </c>
      <c r="B23" s="34">
        <f>'Jul-Sep 2013'!B23+'Jan-Mar 2014'!B23+'Oct-Dec 2013'!B23+'Apr-Jun 2014'!B23</f>
        <v>69313</v>
      </c>
      <c r="C23" s="34">
        <f>'Jul-Sep 2013'!C23+'Jan-Mar 2014'!C23+'Oct-Dec 2013'!C23+'Apr-Jun 2014'!C23</f>
        <v>56297</v>
      </c>
      <c r="D23" s="34">
        <f>'Jul-Sep 2013'!D23+'Jan-Mar 2014'!D23+'Oct-Dec 2013'!D23+'Apr-Jun 2014'!D23</f>
        <v>13523</v>
      </c>
      <c r="E23" s="34">
        <f>'Jul-Sep 2013'!E23+'Jan-Mar 2014'!E23+'Oct-Dec 2013'!E23+'Apr-Jun 2014'!E23</f>
        <v>58729</v>
      </c>
      <c r="F23" s="34">
        <f>'Jul-Sep 2013'!F23+'Jan-Mar 2014'!F23+'Oct-Dec 2013'!F23+'Apr-Jun 2014'!F23</f>
        <v>197862</v>
      </c>
      <c r="G23" s="35">
        <f>F23/276311-1</f>
        <v>-0.28391558787018978</v>
      </c>
      <c r="H23" s="58">
        <f>B23/86326-1</f>
        <v>-0.19707851632184969</v>
      </c>
      <c r="I23" s="18"/>
      <c r="J23" s="18"/>
      <c r="K23" s="18"/>
      <c r="L23" s="18"/>
      <c r="M23" s="18"/>
      <c r="N23" s="18"/>
    </row>
    <row r="24" spans="1:14" s="26" customFormat="1" x14ac:dyDescent="0.2">
      <c r="A24" s="25"/>
      <c r="B24" s="13"/>
      <c r="C24" s="20"/>
      <c r="D24" s="20"/>
      <c r="E24" s="20"/>
      <c r="F24" s="20"/>
      <c r="G24" s="24"/>
      <c r="H24" s="56"/>
      <c r="I24" s="18"/>
      <c r="J24" s="18"/>
      <c r="K24" s="18"/>
      <c r="L24" s="18"/>
      <c r="M24" s="18"/>
      <c r="N24" s="18"/>
    </row>
    <row r="25" spans="1:14" s="26" customFormat="1" x14ac:dyDescent="0.2">
      <c r="A25" s="25" t="s">
        <v>34</v>
      </c>
      <c r="B25" s="13"/>
      <c r="C25" s="20"/>
      <c r="D25" s="20"/>
      <c r="E25" s="20"/>
      <c r="F25" s="20"/>
      <c r="G25" s="24"/>
      <c r="H25" s="56"/>
      <c r="I25" s="18"/>
      <c r="J25" s="18"/>
      <c r="K25" s="18"/>
      <c r="L25" s="18"/>
      <c r="M25" s="18"/>
      <c r="N25" s="18"/>
    </row>
    <row r="26" spans="1:14" x14ac:dyDescent="0.2">
      <c r="A26" s="12" t="s">
        <v>27</v>
      </c>
      <c r="B26" s="13">
        <f>'Jul-Sep 2013'!B26+'Jan-Mar 2014'!B26+'Oct-Dec 2013'!B26+'Apr-Jun 2014'!B26</f>
        <v>15399</v>
      </c>
      <c r="C26" s="13">
        <f>'Jul-Sep 2013'!C26+'Jan-Mar 2014'!C26+'Oct-Dec 2013'!C26+'Apr-Jun 2014'!C26</f>
        <v>31833</v>
      </c>
      <c r="D26" s="13">
        <f>'Jul-Sep 2013'!D26+'Jan-Mar 2014'!D26+'Oct-Dec 2013'!D26+'Apr-Jun 2014'!D26</f>
        <v>1108</v>
      </c>
      <c r="E26" s="13">
        <f>'Jul-Sep 2013'!E26+'Jan-Mar 2014'!E26+'Oct-Dec 2013'!E26+'Apr-Jun 2014'!E26</f>
        <v>15781</v>
      </c>
      <c r="F26" s="13">
        <f>'Jul-Sep 2013'!F26+'Jan-Mar 2014'!F26+'Oct-Dec 2013'!F26+'Apr-Jun 2014'!F26</f>
        <v>64121</v>
      </c>
      <c r="G26" s="32">
        <f>F26/90022-1</f>
        <v>-0.28771855768589905</v>
      </c>
      <c r="H26" s="57">
        <f>B26/15655-1</f>
        <v>-1.6352603002235733E-2</v>
      </c>
      <c r="I26" s="18"/>
      <c r="J26" s="18"/>
      <c r="K26" s="18"/>
      <c r="L26" s="18"/>
      <c r="M26" s="18"/>
      <c r="N26" s="18"/>
    </row>
    <row r="27" spans="1:14" x14ac:dyDescent="0.2">
      <c r="A27" s="12" t="s">
        <v>21</v>
      </c>
      <c r="B27" s="13">
        <f>'Jul-Sep 2013'!B27+'Jan-Mar 2014'!B27+'Oct-Dec 2013'!B27+'Apr-Jun 2014'!B27</f>
        <v>5997</v>
      </c>
      <c r="C27" s="13">
        <f>'Jul-Sep 2013'!C27+'Jan-Mar 2014'!C27+'Oct-Dec 2013'!C27+'Apr-Jun 2014'!C27</f>
        <v>6958</v>
      </c>
      <c r="D27" s="13">
        <f>'Jul-Sep 2013'!D27+'Jan-Mar 2014'!D27+'Oct-Dec 2013'!D27+'Apr-Jun 2014'!D27</f>
        <v>162</v>
      </c>
      <c r="E27" s="13">
        <f>'Jul-Sep 2013'!E27+'Jan-Mar 2014'!E27+'Oct-Dec 2013'!E27+'Apr-Jun 2014'!E27</f>
        <v>29977</v>
      </c>
      <c r="F27" s="13">
        <f>'Jul-Sep 2013'!F27+'Jan-Mar 2014'!F27+'Oct-Dec 2013'!F27+'Apr-Jun 2014'!F27</f>
        <v>43094</v>
      </c>
      <c r="G27" s="32">
        <f>F27/47866-1</f>
        <v>-9.9694981824259399E-2</v>
      </c>
      <c r="H27" s="57">
        <f>B27/6830-1</f>
        <v>-0.12196193265007316</v>
      </c>
      <c r="I27" s="18"/>
      <c r="J27" s="18"/>
      <c r="K27" s="18"/>
      <c r="L27" s="18"/>
      <c r="M27" s="18"/>
      <c r="N27" s="18"/>
    </row>
    <row r="28" spans="1:14" x14ac:dyDescent="0.2">
      <c r="A28" s="17" t="s">
        <v>25</v>
      </c>
      <c r="B28" s="13">
        <f>'Jul-Sep 2013'!B28+'Jan-Mar 2014'!B28+'Oct-Dec 2013'!B28+'Apr-Jun 2014'!B28</f>
        <v>45582</v>
      </c>
      <c r="C28" s="13">
        <f>'Jul-Sep 2013'!C28+'Jan-Mar 2014'!C28+'Oct-Dec 2013'!C28+'Apr-Jun 2014'!C28</f>
        <v>38839</v>
      </c>
      <c r="D28" s="13">
        <f>'Jul-Sep 2013'!D28+'Jan-Mar 2014'!D28+'Oct-Dec 2013'!D28+'Apr-Jun 2014'!D28</f>
        <v>36884</v>
      </c>
      <c r="E28" s="13">
        <f>'Jul-Sep 2013'!E28+'Jan-Mar 2014'!E28+'Oct-Dec 2013'!E28+'Apr-Jun 2014'!E28</f>
        <v>43266</v>
      </c>
      <c r="F28" s="13">
        <f>'Jul-Sep 2013'!F28+'Jan-Mar 2014'!F28+'Oct-Dec 2013'!F28+'Apr-Jun 2014'!F28</f>
        <v>164571</v>
      </c>
      <c r="G28" s="32">
        <f>F28/185680-1</f>
        <v>-0.11368483412322272</v>
      </c>
      <c r="H28" s="57">
        <f>B28/43225-1</f>
        <v>5.4528629265471418E-2</v>
      </c>
      <c r="I28" s="18"/>
      <c r="J28" s="18"/>
      <c r="K28" s="18"/>
      <c r="L28" s="18"/>
      <c r="M28" s="18"/>
      <c r="N28" s="18"/>
    </row>
    <row r="29" spans="1:14" x14ac:dyDescent="0.2">
      <c r="A29" s="31"/>
      <c r="B29" s="13"/>
      <c r="C29" s="31"/>
      <c r="D29" s="31"/>
      <c r="E29" s="31"/>
      <c r="F29" s="31"/>
      <c r="G29" s="32"/>
      <c r="H29" s="57"/>
    </row>
    <row r="30" spans="1:14" s="5" customFormat="1" x14ac:dyDescent="0.2">
      <c r="A30" s="37" t="s">
        <v>12</v>
      </c>
      <c r="B30" s="34">
        <f>'Jul-Sep 2013'!B30+'Jan-Mar 2014'!B30+'Oct-Dec 2013'!B30+'Apr-Jun 2014'!B30</f>
        <v>341145</v>
      </c>
      <c r="C30" s="34">
        <f>'Jul-Sep 2013'!C30+'Jan-Mar 2014'!C30+'Oct-Dec 2013'!C30+'Apr-Jun 2014'!C30</f>
        <v>418143</v>
      </c>
      <c r="D30" s="34">
        <f>'Jul-Sep 2013'!D30+'Jan-Mar 2014'!D30+'Oct-Dec 2013'!D30+'Apr-Jun 2014'!D30</f>
        <v>56408</v>
      </c>
      <c r="E30" s="34">
        <f>'Jul-Sep 2013'!E30+'Jan-Mar 2014'!E30+'Oct-Dec 2013'!E30+'Apr-Jun 2014'!E30</f>
        <v>334147</v>
      </c>
      <c r="F30" s="34">
        <f>'Jul-Sep 2013'!F30+'Jan-Mar 2014'!F30+'Oct-Dec 2013'!F30+'Apr-Jun 2014'!F30</f>
        <v>1149843</v>
      </c>
      <c r="G30" s="35">
        <f>F30/1671556-1</f>
        <v>-0.31211218768620375</v>
      </c>
      <c r="H30" s="58">
        <f>B30/373216-1</f>
        <v>-8.5931471319557584E-2</v>
      </c>
      <c r="I30" s="18"/>
      <c r="J30" s="18"/>
      <c r="K30" s="18"/>
      <c r="L30" s="18"/>
      <c r="M30" s="18"/>
      <c r="N30" s="18"/>
    </row>
    <row r="31" spans="1:14" x14ac:dyDescent="0.2">
      <c r="A31" s="12"/>
      <c r="B31" s="13"/>
      <c r="C31" s="1"/>
      <c r="D31" s="1"/>
      <c r="E31" s="1"/>
      <c r="F31" s="20"/>
      <c r="G31" s="24"/>
      <c r="H31" s="56"/>
      <c r="I31" s="18"/>
      <c r="J31" s="18"/>
      <c r="K31" s="18"/>
      <c r="L31" s="18"/>
      <c r="M31" s="18"/>
      <c r="N31" s="18"/>
    </row>
    <row r="32" spans="1:14" x14ac:dyDescent="0.2">
      <c r="A32" s="12" t="s">
        <v>13</v>
      </c>
      <c r="B32" s="13"/>
      <c r="C32" s="13"/>
      <c r="D32" s="13">
        <f>'Jul-Sep 2013'!D32+'Jan-Mar 2014'!D32+'Oct-Dec 2013'!D32+'Apr-Jun 2014'!D32</f>
        <v>184184</v>
      </c>
      <c r="E32" s="13"/>
      <c r="F32" s="13">
        <f>'Jul-Sep 2013'!F32+'Jan-Mar 2014'!F32+'Oct-Dec 2013'!F32+'Apr-Jun 2014'!F32</f>
        <v>184184</v>
      </c>
      <c r="G32" s="32">
        <f>F32/312760-1</f>
        <v>-0.41110116383169204</v>
      </c>
      <c r="H32" s="56"/>
      <c r="I32" s="18"/>
      <c r="J32" s="18"/>
      <c r="K32" s="18"/>
      <c r="L32" s="18"/>
      <c r="M32" s="18"/>
      <c r="N32" s="18"/>
    </row>
    <row r="33" spans="1:14" x14ac:dyDescent="0.2">
      <c r="A33" s="12"/>
      <c r="B33" s="13"/>
      <c r="C33" s="17"/>
      <c r="D33" s="17"/>
      <c r="E33" s="17"/>
      <c r="F33" s="20"/>
      <c r="G33" s="32"/>
      <c r="H33" s="56"/>
      <c r="I33" s="18"/>
      <c r="J33" s="18"/>
      <c r="K33" s="18"/>
      <c r="L33" s="18"/>
      <c r="M33" s="18"/>
      <c r="N33" s="18"/>
    </row>
    <row r="34" spans="1:14" x14ac:dyDescent="0.2">
      <c r="A34" s="12" t="s">
        <v>14</v>
      </c>
      <c r="B34" s="13">
        <f>'Jul-Sep 2013'!B34+'Jan-Mar 2014'!B34+'Oct-Dec 2013'!B34+'Apr-Jun 2014'!B34</f>
        <v>30747</v>
      </c>
      <c r="C34" s="13">
        <f>'Jul-Sep 2013'!C34+'Jan-Mar 2014'!C34+'Oct-Dec 2013'!C34+'Apr-Jun 2014'!C34</f>
        <v>38815</v>
      </c>
      <c r="D34" s="13">
        <f>'Jul-Sep 2013'!D34+'Jan-Mar 2014'!D34+'Oct-Dec 2013'!D34+'Apr-Jun 2014'!D34</f>
        <v>6632</v>
      </c>
      <c r="E34" s="13">
        <f>'Jul-Sep 2013'!E34+'Jan-Mar 2014'!E34+'Oct-Dec 2013'!E34+'Apr-Jun 2014'!E34</f>
        <v>58764</v>
      </c>
      <c r="F34" s="13">
        <f>'Jul-Sep 2013'!F34+'Jan-Mar 2014'!F34+'Oct-Dec 2013'!F34+'Apr-Jun 2014'!F34</f>
        <v>134958</v>
      </c>
      <c r="G34" s="32">
        <f>F34/139949-1</f>
        <v>-3.5662991518338849E-2</v>
      </c>
      <c r="H34" s="57">
        <f>B34/38590-1</f>
        <v>-0.20323918113500905</v>
      </c>
      <c r="I34" s="18"/>
      <c r="J34" s="18"/>
      <c r="K34" s="18"/>
      <c r="L34" s="18"/>
      <c r="M34" s="18"/>
      <c r="N34" s="18"/>
    </row>
    <row r="35" spans="1:14" x14ac:dyDescent="0.2">
      <c r="A35" s="12" t="s">
        <v>15</v>
      </c>
      <c r="B35" s="13"/>
      <c r="C35" s="13"/>
      <c r="D35" s="13">
        <f>'Jul-Sep 2013'!D35+'Jan-Mar 2014'!D35+'Oct-Dec 2013'!D35+'Apr-Jun 2014'!D35</f>
        <v>186928</v>
      </c>
      <c r="E35" s="13"/>
      <c r="F35" s="13">
        <f>'Jul-Sep 2013'!F35+'Jan-Mar 2014'!F35+'Oct-Dec 2013'!F35+'Apr-Jun 2014'!F35</f>
        <v>186928</v>
      </c>
      <c r="G35" s="32">
        <f>F35/224360-1</f>
        <v>-0.16683900873596003</v>
      </c>
      <c r="H35" s="57"/>
      <c r="I35" s="18"/>
      <c r="J35" s="18"/>
      <c r="K35" s="18"/>
      <c r="L35" s="18"/>
      <c r="M35" s="18"/>
      <c r="N35" s="18"/>
    </row>
    <row r="36" spans="1:14" x14ac:dyDescent="0.2">
      <c r="A36" s="12"/>
      <c r="B36" s="13"/>
      <c r="C36" s="17"/>
      <c r="D36" s="17"/>
      <c r="E36" s="17"/>
      <c r="F36" s="20"/>
      <c r="G36" s="32"/>
      <c r="H36" s="57"/>
      <c r="I36" s="18"/>
      <c r="J36" s="18"/>
      <c r="K36" s="18"/>
      <c r="L36" s="18"/>
      <c r="M36" s="18"/>
      <c r="N36" s="18"/>
    </row>
    <row r="37" spans="1:14" x14ac:dyDescent="0.2">
      <c r="A37" s="12" t="s">
        <v>16</v>
      </c>
      <c r="B37" s="13">
        <f>'Jul-Sep 2013'!B37+'Jan-Mar 2014'!B37+'Oct-Dec 2013'!B37+'Apr-Jun 2014'!B37</f>
        <v>25711</v>
      </c>
      <c r="C37" s="13">
        <f>'Jul-Sep 2013'!C37+'Jan-Mar 2014'!C37+'Oct-Dec 2013'!C37+'Apr-Jun 2014'!C37</f>
        <v>32775</v>
      </c>
      <c r="D37" s="13">
        <f>'Jul-Sep 2013'!D37+'Jan-Mar 2014'!D37+'Oct-Dec 2013'!D37+'Apr-Jun 2014'!D37</f>
        <v>1294</v>
      </c>
      <c r="E37" s="13">
        <f>'Jul-Sep 2013'!E37+'Jan-Mar 2014'!E37+'Oct-Dec 2013'!E37+'Apr-Jun 2014'!E37</f>
        <v>17305</v>
      </c>
      <c r="F37" s="13">
        <f>'Jul-Sep 2013'!F37+'Jan-Mar 2014'!F37+'Oct-Dec 2013'!F37+'Apr-Jun 2014'!F37</f>
        <v>77085</v>
      </c>
      <c r="G37" s="32">
        <f>F37/101698-1</f>
        <v>-0.24202049204507459</v>
      </c>
      <c r="H37" s="57">
        <f>B37/24158-1</f>
        <v>6.4285122940640704E-2</v>
      </c>
      <c r="I37" s="18"/>
      <c r="J37" s="18"/>
      <c r="K37" s="18"/>
      <c r="L37" s="18"/>
      <c r="M37" s="18"/>
      <c r="N37" s="18"/>
    </row>
    <row r="38" spans="1:14" x14ac:dyDescent="0.2">
      <c r="A38" s="12" t="s">
        <v>17</v>
      </c>
      <c r="B38" s="13"/>
      <c r="C38" s="13"/>
      <c r="D38" s="13">
        <f>'Jul-Sep 2013'!D38+'Jan-Mar 2014'!D38+'Oct-Dec 2013'!D38+'Apr-Jun 2014'!D38</f>
        <v>66852</v>
      </c>
      <c r="E38" s="13"/>
      <c r="F38" s="13">
        <f>'Jul-Sep 2013'!F38+'Jan-Mar 2014'!F38+'Oct-Dec 2013'!F38+'Apr-Jun 2014'!F38</f>
        <v>66852</v>
      </c>
      <c r="G38" s="32">
        <f>F38/68348-1</f>
        <v>-2.1887985017849831E-2</v>
      </c>
      <c r="H38" s="56"/>
      <c r="I38" s="18"/>
      <c r="J38" s="18"/>
      <c r="K38" s="18"/>
      <c r="L38" s="18"/>
      <c r="M38" s="18"/>
      <c r="N38" s="18"/>
    </row>
  </sheetData>
  <sheetProtection password="CC4F" sheet="1" objects="1" scenarios="1"/>
  <pageMargins left="0.7" right="0.7" top="0.75" bottom="0.75" header="0.3" footer="0.3"/>
  <pageSetup scale="66" orientation="landscape" r:id="rId1"/>
  <headerFooter alignWithMargins="0">
    <oddHeader>&amp;L&amp;"Arial,Bold"&amp;14CIRCULATION STATISTICS&amp;C&amp;"Arial,Bold"&amp;14Annual 2013- 2014</oddHeader>
  </headerFooter>
  <ignoredErrors>
    <ignoredError sqref="E3" unlockedFormula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Jul-Sep 2013</vt:lpstr>
      <vt:lpstr>Oct-Dec 2013</vt:lpstr>
      <vt:lpstr>Jan-Mar 2014</vt:lpstr>
      <vt:lpstr>Apr-Jun 2014</vt:lpstr>
      <vt:lpstr>Annual 2014</vt:lpstr>
      <vt:lpstr>'Annual 2014'!Print_Area</vt:lpstr>
      <vt:lpstr>'Apr-Jun 2014'!Print_Area</vt:lpstr>
      <vt:lpstr>'Jan-Mar 2014'!Print_Area</vt:lpstr>
      <vt:lpstr>'Jul-Sep 2013'!Print_Area</vt:lpstr>
      <vt:lpstr>'Oct-Dec 2013'!Print_Area</vt:lpstr>
    </vt:vector>
  </TitlesOfParts>
  <Company>University of Washington Libraries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 Deardorff</dc:creator>
  <cp:lastModifiedBy>Administrator</cp:lastModifiedBy>
  <cp:lastPrinted>2014-07-23T19:20:06Z</cp:lastPrinted>
  <dcterms:created xsi:type="dcterms:W3CDTF">2005-09-27T21:59:03Z</dcterms:created>
  <dcterms:modified xsi:type="dcterms:W3CDTF">2014-10-02T21:35:13Z</dcterms:modified>
</cp:coreProperties>
</file>