
<file path=[Content_Types].xml><?xml version="1.0" encoding="utf-8"?>
<Types xmlns="http://schemas.openxmlformats.org/package/2006/content-types">
  <Default Extension="xml" ContentType="application/xml"/>
  <Default Extension="jpeg" ContentType="image/jpeg"/>
  <Default Extension="rels" ContentType="application/vnd.openxmlformats-package.relationships+xml"/>
  <Default Extension="emf" ContentType="image/x-em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309"/>
  <workbookPr showInkAnnotation="0" autoCompressPictures="0"/>
  <mc:AlternateContent xmlns:mc="http://schemas.openxmlformats.org/markup-compatibility/2006">
    <mc:Choice Requires="x15">
      <x15ac:absPath xmlns:x15ac="http://schemas.microsoft.com/office/spreadsheetml/2010/11/ac" url="/Users/mdennis/Documents/Manuscripts/3_HSAdup/Submission/2_NatEcolEvol/Reviews_2/Resubmit/Supplement/Data/"/>
    </mc:Choice>
  </mc:AlternateContent>
  <bookViews>
    <workbookView xWindow="5280" yWindow="460" windowWidth="31600" windowHeight="15580" tabRatio="1000" firstSheet="4" activeTab="14"/>
  </bookViews>
  <sheets>
    <sheet name="1_SRGAP2_FAM72" sheetId="3" r:id="rId1"/>
    <sheet name="2_GPR89" sheetId="13" r:id="rId2"/>
    <sheet name="3_FCGR1_HIST2H2B" sheetId="6" r:id="rId3"/>
    <sheet name="4_CD8B" sheetId="18" r:id="rId4"/>
    <sheet name="5_MIR4435" sheetId="20" r:id="rId5"/>
    <sheet name="6_MIR4267" sheetId="19" r:id="rId6"/>
    <sheet name="7_CFC1A_TISP43" sheetId="12" r:id="rId7"/>
    <sheet name="8_DUSP22" sheetId="8" r:id="rId8"/>
    <sheet name="9_GTF2IRD1_GTF2IRD2_NCF1" sheetId="1" r:id="rId9"/>
    <sheet name="10_ARHGEF5" sheetId="22" r:id="rId10"/>
    <sheet name="11_TCAF1_TCAF2" sheetId="24" r:id="rId11"/>
    <sheet name="12_GPRIN2_PPYR1_LOC643650" sheetId="9" r:id="rId12"/>
    <sheet name="13_PTPN20_FRMPD2" sheetId="21" r:id="rId13"/>
    <sheet name="14_ARHGAP11" sheetId="5" r:id="rId14"/>
    <sheet name="15_CHRNA7" sheetId="7" r:id="rId15"/>
    <sheet name="16_HYDIN" sheetId="4" r:id="rId16"/>
    <sheet name="17_ROCK1" sheetId="2" r:id="rId17"/>
    <sheet name="18_GTF2H2_OCLN" sheetId="15" r:id="rId18"/>
    <sheet name="19_SMN1_SERF1" sheetId="17" r:id="rId19"/>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B71" i="3" l="1"/>
  <c r="B74" i="3"/>
  <c r="C74" i="3"/>
  <c r="E57" i="3"/>
  <c r="E58" i="3"/>
  <c r="E59" i="3"/>
  <c r="E60" i="3"/>
  <c r="E61" i="3"/>
  <c r="E62" i="3"/>
  <c r="E64" i="3"/>
  <c r="E65" i="3"/>
  <c r="E66" i="3"/>
  <c r="J57" i="3"/>
  <c r="D76" i="3"/>
  <c r="D75" i="3"/>
  <c r="B76" i="3"/>
  <c r="C76" i="3"/>
  <c r="B75" i="3"/>
  <c r="C75" i="3"/>
  <c r="B34" i="3"/>
  <c r="D74" i="3"/>
  <c r="C71" i="3"/>
  <c r="M71" i="1"/>
  <c r="M73" i="1"/>
  <c r="O73" i="1"/>
  <c r="O76" i="1"/>
  <c r="N73" i="1"/>
  <c r="N76" i="1"/>
  <c r="O75" i="1"/>
  <c r="N75" i="1"/>
  <c r="Q72" i="1"/>
  <c r="P72" i="1"/>
  <c r="O71" i="1"/>
  <c r="O72" i="1"/>
  <c r="N71" i="1"/>
  <c r="N72" i="1"/>
  <c r="Q71" i="1"/>
  <c r="P71" i="1"/>
  <c r="O60" i="1"/>
  <c r="N60" i="1"/>
  <c r="P3" i="17"/>
  <c r="N3" i="17"/>
  <c r="L14" i="17"/>
  <c r="P17" i="17"/>
  <c r="O17" i="17"/>
  <c r="L16" i="17"/>
  <c r="N16" i="17"/>
  <c r="M16" i="17"/>
  <c r="N14" i="17"/>
  <c r="N15" i="17"/>
  <c r="M14" i="17"/>
  <c r="M15" i="17"/>
  <c r="P14" i="17"/>
  <c r="O14" i="17"/>
  <c r="P6" i="17"/>
  <c r="O6" i="17"/>
  <c r="L3" i="17"/>
  <c r="O3" i="17"/>
  <c r="M3" i="17"/>
  <c r="L30" i="20"/>
  <c r="K25" i="20"/>
  <c r="M29" i="20"/>
  <c r="L29" i="20"/>
  <c r="K29" i="20"/>
  <c r="K27" i="20"/>
  <c r="L27" i="20"/>
  <c r="L25" i="20"/>
  <c r="L26" i="20"/>
  <c r="M25" i="20"/>
  <c r="N3" i="15"/>
  <c r="L3" i="15"/>
  <c r="L5" i="15"/>
  <c r="N5" i="15"/>
  <c r="N4" i="15"/>
  <c r="N6" i="15"/>
  <c r="N8" i="15"/>
  <c r="M3" i="15"/>
  <c r="M5" i="15"/>
  <c r="M4" i="15"/>
  <c r="M6" i="15"/>
  <c r="M8" i="15"/>
  <c r="N7" i="15"/>
  <c r="M7" i="15"/>
  <c r="N13" i="15"/>
  <c r="N15" i="15"/>
  <c r="N14" i="15"/>
  <c r="N16" i="15"/>
  <c r="N18" i="15"/>
  <c r="M13" i="15"/>
  <c r="M15" i="15"/>
  <c r="M14" i="15"/>
  <c r="M16" i="15"/>
  <c r="M18" i="15"/>
  <c r="N17" i="15"/>
  <c r="M17" i="15"/>
  <c r="L13" i="15"/>
  <c r="P16" i="15"/>
  <c r="O16" i="15"/>
  <c r="L15" i="15"/>
  <c r="P13" i="15"/>
  <c r="O13" i="15"/>
  <c r="P6" i="15"/>
  <c r="O6" i="15"/>
  <c r="P3" i="15"/>
  <c r="O3" i="15"/>
  <c r="M40" i="19"/>
  <c r="M36" i="19"/>
  <c r="L38" i="19"/>
  <c r="L36" i="19"/>
  <c r="K36" i="19"/>
  <c r="L41" i="19"/>
  <c r="L40" i="19"/>
  <c r="K40" i="19"/>
  <c r="K38" i="19"/>
  <c r="L37" i="19"/>
  <c r="K15" i="12"/>
  <c r="K17" i="12"/>
  <c r="L30" i="12"/>
  <c r="K25" i="12"/>
  <c r="M29" i="12"/>
  <c r="L29" i="12"/>
  <c r="K29" i="12"/>
  <c r="K27" i="12"/>
  <c r="L27" i="12"/>
  <c r="L25" i="12"/>
  <c r="L26" i="12"/>
  <c r="M25" i="12"/>
  <c r="L49" i="9"/>
  <c r="K44" i="9"/>
  <c r="M48" i="9"/>
  <c r="L48" i="9"/>
  <c r="K48" i="9"/>
  <c r="K46" i="9"/>
  <c r="L46" i="9"/>
  <c r="L44" i="9"/>
  <c r="L45" i="9"/>
  <c r="M44" i="9"/>
  <c r="L2" i="21"/>
  <c r="M2" i="21"/>
  <c r="M18" i="21"/>
  <c r="L13" i="21"/>
  <c r="N17" i="21"/>
  <c r="M17" i="21"/>
  <c r="L17" i="21"/>
  <c r="L15" i="21"/>
  <c r="M15" i="21"/>
  <c r="M13" i="21"/>
  <c r="M14" i="21"/>
  <c r="N13" i="21"/>
  <c r="K2" i="4"/>
  <c r="M7" i="4"/>
  <c r="K5" i="4"/>
  <c r="L19" i="4"/>
  <c r="K13" i="4"/>
  <c r="M18" i="4"/>
  <c r="L13" i="4"/>
  <c r="L18" i="4"/>
  <c r="K18" i="4"/>
  <c r="K16" i="4"/>
  <c r="L16" i="4"/>
  <c r="L14" i="4"/>
  <c r="L15" i="4"/>
  <c r="M13" i="4"/>
  <c r="L5" i="17"/>
  <c r="L34" i="24"/>
  <c r="K34" i="24"/>
  <c r="M34" i="24"/>
  <c r="M38" i="24"/>
  <c r="K36" i="24"/>
  <c r="K12" i="24"/>
  <c r="K14" i="24"/>
  <c r="K38" i="24"/>
  <c r="L36" i="24"/>
  <c r="L35" i="24"/>
  <c r="N5" i="17"/>
  <c r="N4" i="17"/>
  <c r="K33" i="9"/>
  <c r="K35" i="9"/>
  <c r="L35" i="9"/>
  <c r="L5" i="4"/>
  <c r="K2" i="2"/>
  <c r="K4" i="2"/>
  <c r="L4" i="2"/>
  <c r="L2" i="2"/>
  <c r="L3" i="2"/>
  <c r="L2" i="7"/>
  <c r="K2" i="7"/>
  <c r="M2" i="7"/>
  <c r="M5" i="17"/>
  <c r="M4" i="17"/>
  <c r="L33" i="9"/>
  <c r="K3" i="9"/>
  <c r="K5" i="9"/>
  <c r="L38" i="9"/>
  <c r="M37" i="9"/>
  <c r="L37" i="9"/>
  <c r="K37" i="9"/>
  <c r="L34" i="9"/>
  <c r="M33" i="9"/>
  <c r="N2" i="21"/>
  <c r="L30" i="22"/>
  <c r="K3" i="22"/>
  <c r="M7" i="22"/>
  <c r="L3" i="22"/>
  <c r="M3" i="22"/>
  <c r="M60" i="1"/>
  <c r="Q61" i="1"/>
  <c r="P61" i="1"/>
  <c r="Q60" i="1"/>
  <c r="P60" i="1"/>
  <c r="M3" i="1"/>
  <c r="Q4" i="1"/>
  <c r="O3" i="1"/>
  <c r="Q3" i="1"/>
  <c r="P4" i="1"/>
  <c r="M5" i="1"/>
  <c r="N5" i="1"/>
  <c r="N7" i="1"/>
  <c r="N3" i="1"/>
  <c r="P3" i="1"/>
  <c r="K14" i="19"/>
  <c r="M18" i="19"/>
  <c r="K16" i="19"/>
  <c r="L19" i="19"/>
  <c r="L18" i="19"/>
  <c r="K18" i="19"/>
  <c r="L14" i="19"/>
  <c r="K14" i="20"/>
  <c r="M18" i="20"/>
  <c r="O29" i="6"/>
  <c r="K36" i="13"/>
  <c r="K38" i="13"/>
  <c r="L38" i="13"/>
  <c r="L41" i="13"/>
  <c r="L40" i="13"/>
  <c r="L36" i="13"/>
  <c r="L37" i="13"/>
  <c r="M40" i="13"/>
  <c r="M36" i="13"/>
  <c r="O33" i="6"/>
  <c r="L29" i="6"/>
  <c r="L31" i="6"/>
  <c r="N33" i="6"/>
  <c r="M31" i="6"/>
  <c r="M33" i="6"/>
  <c r="M29" i="6"/>
  <c r="M30" i="6"/>
  <c r="L27" i="24"/>
  <c r="K22" i="24"/>
  <c r="M26" i="24"/>
  <c r="L26" i="24"/>
  <c r="K26" i="24"/>
  <c r="K24" i="24"/>
  <c r="L24" i="24"/>
  <c r="L22" i="24"/>
  <c r="L23" i="24"/>
  <c r="M22" i="24"/>
  <c r="L17" i="24"/>
  <c r="M16" i="24"/>
  <c r="L16" i="24"/>
  <c r="K16" i="24"/>
  <c r="L14" i="24"/>
  <c r="L12" i="24"/>
  <c r="L13" i="24"/>
  <c r="M12" i="24"/>
  <c r="L7" i="24"/>
  <c r="K2" i="24"/>
  <c r="M6" i="24"/>
  <c r="L6" i="24"/>
  <c r="K6" i="24"/>
  <c r="K4" i="24"/>
  <c r="L4" i="24"/>
  <c r="L2" i="24"/>
  <c r="L3" i="24"/>
  <c r="M2" i="24"/>
  <c r="E18" i="3"/>
  <c r="E19" i="3"/>
  <c r="E22" i="3"/>
  <c r="E27" i="3"/>
  <c r="E21" i="3"/>
  <c r="B32" i="3"/>
  <c r="B36" i="3"/>
  <c r="E20" i="3"/>
  <c r="E25" i="3"/>
  <c r="B35" i="3"/>
  <c r="C32" i="3"/>
  <c r="E28" i="3"/>
  <c r="E26" i="3"/>
  <c r="E23" i="3"/>
  <c r="K30" i="22"/>
  <c r="M30" i="22"/>
  <c r="K5" i="22"/>
  <c r="L8" i="22"/>
  <c r="L7" i="22"/>
  <c r="K32" i="22"/>
  <c r="K7" i="22"/>
  <c r="L5" i="22"/>
  <c r="L4" i="22"/>
  <c r="L35" i="22"/>
  <c r="M34" i="22"/>
  <c r="L34" i="22"/>
  <c r="K34" i="22"/>
  <c r="L32" i="22"/>
  <c r="L31" i="22"/>
  <c r="L4" i="21"/>
  <c r="M7" i="21"/>
  <c r="N6" i="21"/>
  <c r="M6" i="21"/>
  <c r="L6" i="21"/>
  <c r="M4" i="21"/>
  <c r="M3" i="21"/>
  <c r="L3" i="9"/>
  <c r="K7" i="9"/>
  <c r="L8" i="9"/>
  <c r="M7" i="9"/>
  <c r="L7" i="9"/>
  <c r="L5" i="9"/>
  <c r="L4" i="9"/>
  <c r="M3" i="9"/>
  <c r="K16" i="20"/>
  <c r="L19" i="20"/>
  <c r="L18" i="20"/>
  <c r="L14" i="20"/>
  <c r="M14" i="20"/>
  <c r="L16" i="20"/>
  <c r="K3" i="20"/>
  <c r="K5" i="20"/>
  <c r="K18" i="20"/>
  <c r="L15" i="20"/>
  <c r="L7" i="20"/>
  <c r="M7" i="20"/>
  <c r="L3" i="20"/>
  <c r="M3" i="20"/>
  <c r="L5" i="20"/>
  <c r="K7" i="20"/>
  <c r="L8" i="20"/>
  <c r="L4" i="20"/>
  <c r="J26" i="18"/>
  <c r="J28" i="18"/>
  <c r="K28" i="18"/>
  <c r="K30" i="18"/>
  <c r="L30" i="18"/>
  <c r="K26" i="18"/>
  <c r="K27" i="18"/>
  <c r="L27" i="18"/>
  <c r="M14" i="19"/>
  <c r="L16" i="19"/>
  <c r="L15" i="19"/>
  <c r="M19" i="12"/>
  <c r="K19" i="12"/>
  <c r="L15" i="12"/>
  <c r="M15" i="12"/>
  <c r="M62" i="1"/>
  <c r="N62" i="1"/>
  <c r="N64" i="1"/>
  <c r="M6" i="7"/>
  <c r="K2" i="5"/>
  <c r="M6" i="5"/>
  <c r="L2" i="5"/>
  <c r="M2" i="5"/>
  <c r="M6" i="2"/>
  <c r="K6" i="2"/>
  <c r="M2" i="2"/>
  <c r="K7" i="4"/>
  <c r="L2" i="4"/>
  <c r="M2" i="4"/>
  <c r="L3" i="8"/>
  <c r="N7" i="8"/>
  <c r="L5" i="8"/>
  <c r="L7" i="8"/>
  <c r="M3" i="8"/>
  <c r="N4" i="8"/>
  <c r="N29" i="6"/>
  <c r="N31" i="6"/>
  <c r="N30" i="6"/>
  <c r="L3" i="4"/>
  <c r="L4" i="4"/>
  <c r="L8" i="4"/>
  <c r="L7" i="4"/>
  <c r="L20" i="12"/>
  <c r="L19" i="12"/>
  <c r="L17" i="12"/>
  <c r="L16" i="12"/>
  <c r="O62" i="1"/>
  <c r="O64" i="1"/>
  <c r="O61" i="1"/>
  <c r="N61" i="1"/>
  <c r="K4" i="7"/>
  <c r="L7" i="7"/>
  <c r="L6" i="7"/>
  <c r="K6" i="7"/>
  <c r="L4" i="7"/>
  <c r="L3" i="7"/>
  <c r="M5" i="8"/>
  <c r="M4" i="8"/>
  <c r="M8" i="8"/>
  <c r="M7" i="8"/>
  <c r="K4" i="5"/>
  <c r="K6" i="5"/>
  <c r="L7" i="5"/>
  <c r="L6" i="5"/>
  <c r="L4" i="5"/>
  <c r="L3" i="5"/>
  <c r="L6" i="2"/>
  <c r="L7" i="2"/>
  <c r="O65" i="1"/>
  <c r="N65" i="1"/>
  <c r="O5" i="1"/>
  <c r="O8" i="1"/>
  <c r="N8" i="1"/>
  <c r="O7" i="1"/>
  <c r="O4" i="1"/>
  <c r="N4" i="1"/>
</calcChain>
</file>

<file path=xl/sharedStrings.xml><?xml version="1.0" encoding="utf-8"?>
<sst xmlns="http://schemas.openxmlformats.org/spreadsheetml/2006/main" count="1457" uniqueCount="364">
  <si>
    <t>Segdup</t>
  </si>
  <si>
    <t>TaJD (chimp/orang)</t>
  </si>
  <si>
    <t>Ac</t>
  </si>
  <si>
    <t>At</t>
  </si>
  <si>
    <t>Am</t>
  </si>
  <si>
    <t>chimp_A</t>
  </si>
  <si>
    <t>gorilla_A</t>
  </si>
  <si>
    <t>orang_A</t>
  </si>
  <si>
    <t>R=d/2T</t>
  </si>
  <si>
    <t>chimp-human</t>
  </si>
  <si>
    <t>Am-Ac/At</t>
  </si>
  <si>
    <t>Ac-At</t>
  </si>
  <si>
    <t/>
  </si>
  <si>
    <t>distance</t>
  </si>
  <si>
    <t>T (mya)</t>
  </si>
  <si>
    <t>R (mut/bp*mya)</t>
  </si>
  <si>
    <t>n/a</t>
  </si>
  <si>
    <t>Assuming same rate</t>
  </si>
  <si>
    <t>upper-T (mya)</t>
  </si>
  <si>
    <t>lower-T (mya)</t>
  </si>
  <si>
    <t>Bc</t>
  </si>
  <si>
    <t>Bm</t>
  </si>
  <si>
    <t>Bt</t>
  </si>
  <si>
    <t>chimp_B</t>
  </si>
  <si>
    <t>gorilla_B</t>
  </si>
  <si>
    <t>orang_B</t>
  </si>
  <si>
    <t>Bm-Bc/Bt</t>
  </si>
  <si>
    <t>Bc-Bt</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</si>
  <si>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19059 positions in the final dataset. Evolutionary analyses were conducted in MEGA5 [2]. </t>
  </si>
  <si>
    <t>TajD</t>
  </si>
  <si>
    <t>TajD (chimp)</t>
  </si>
  <si>
    <t>ARHGAP11A</t>
  </si>
  <si>
    <t>ARHGAP11B</t>
  </si>
  <si>
    <t>chimpanzee</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</si>
  <si>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24703 positions in the final dataset. Evolutionary analyses were conducted in MEGA5 [2]. </t>
  </si>
  <si>
    <t>A-B</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</si>
  <si>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123976 positions in the final dataset. Evolutionary analyses were conducted in MEGA5 [2]. </t>
  </si>
  <si>
    <t>Source</t>
  </si>
  <si>
    <t>panTro4</t>
  </si>
  <si>
    <t>CH17</t>
  </si>
  <si>
    <t>CH251</t>
  </si>
  <si>
    <t>CHRFAM7A</t>
  </si>
  <si>
    <t>CHRNA7</t>
  </si>
  <si>
    <t>CHIMP</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</si>
  <si>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146132 positions in the final dataset. Evolutionary analyses were conducted in MEGA5 [2]. </t>
  </si>
  <si>
    <t>CH277</t>
  </si>
  <si>
    <t>CH276</t>
  </si>
  <si>
    <t xml:space="preserve">TaJD </t>
  </si>
  <si>
    <t>A</t>
  </si>
  <si>
    <t>B</t>
  </si>
  <si>
    <t>chimp</t>
  </si>
  <si>
    <t>RP11</t>
  </si>
  <si>
    <t>% chimp</t>
  </si>
  <si>
    <t>gorilla</t>
  </si>
  <si>
    <t>GRCh38 (CH17)</t>
  </si>
  <si>
    <t>-</t>
  </si>
  <si>
    <t>FCGR1A</t>
  </si>
  <si>
    <t>FCGR1C</t>
  </si>
  <si>
    <t>FCGR1D</t>
  </si>
  <si>
    <t>FCGR1_chimp</t>
  </si>
  <si>
    <t>C</t>
  </si>
  <si>
    <t>D</t>
  </si>
  <si>
    <t>C-D</t>
  </si>
  <si>
    <t>error</t>
  </si>
  <si>
    <t>RP11 hg38</t>
  </si>
  <si>
    <t>SOURCE</t>
  </si>
  <si>
    <t>TAJD</t>
  </si>
  <si>
    <t>hg38</t>
  </si>
  <si>
    <t>The evolutionary history was inferred using the Neighbor-Joining method [1]. The optimal tree with the sum of branch length = 0.05066064 is shown. The confidence probability (multiplied by 100) that the interior branch length is greater than 0, as estimated using the bootstrap test (500 replicates is shown next to the branches [2, 3]. The tree is drawn to scale, with branch lengths (next to the branches) in the same units as those of the evolutionary distances used to infer the phylogenetic tree. The evolutionary distances were computed using the Kimura 2-parameter method [4] and are in the units of the number of base substitutions per site. The analysis involved 4 nucleotide sequences. All positions containing gaps and missing data were eliminated. There were a total of 33866 positions in the final dataset. Evolutionary analyses were conducted in MEGA5 [5].</t>
  </si>
  <si>
    <t>orangutan</t>
  </si>
  <si>
    <t>ponAbe2</t>
  </si>
  <si>
    <t>Phylogenetic neigbor-joining tree</t>
  </si>
  <si>
    <t>Branch length</t>
  </si>
  <si>
    <t>Error</t>
  </si>
  <si>
    <t>AB-A</t>
  </si>
  <si>
    <t>AB-B</t>
  </si>
  <si>
    <t>chimpAB-AB</t>
  </si>
  <si>
    <t>chimp-chimpAB</t>
  </si>
  <si>
    <t>A_distal</t>
  </si>
  <si>
    <t>B_distal</t>
  </si>
  <si>
    <t>GRCh38</t>
  </si>
  <si>
    <t>orang</t>
  </si>
  <si>
    <t>panTro4/CH251</t>
  </si>
  <si>
    <t>mafft alignment</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</si>
  <si>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259344 positions in the final dataset. Evolutionary analyses were conducted in MEGA5 [2]. </t>
  </si>
  <si>
    <t>SD1</t>
  </si>
  <si>
    <t>SD2</t>
  </si>
  <si>
    <t>human_SRGAP2B</t>
  </si>
  <si>
    <t>human_SRGAP2C</t>
  </si>
  <si>
    <t>human_SRGAP2A</t>
  </si>
  <si>
    <t>human_SRGAP2D</t>
  </si>
  <si>
    <t>Genetic distance</t>
  </si>
  <si>
    <t>SE</t>
  </si>
  <si>
    <t>SRGAP2B</t>
  </si>
  <si>
    <t>0.001172 +- 0.000098</t>
  </si>
  <si>
    <t>SRGAP2D</t>
  </si>
  <si>
    <t>0.001262 +- 0.000057</t>
  </si>
  <si>
    <t>SRGAP2C</t>
  </si>
  <si>
    <t>0.002716 +- 0.000111</t>
  </si>
  <si>
    <t>SRGAP2A</t>
  </si>
  <si>
    <t>0.002409 +- 0.000084</t>
  </si>
  <si>
    <t>0.004587 +- 0.000137</t>
  </si>
  <si>
    <t>ORANG</t>
  </si>
  <si>
    <t>0.013455(0.021091) +- 0.000393</t>
  </si>
  <si>
    <t>SRGAP2B/C/D</t>
  </si>
  <si>
    <t>0.000905 +- 0.000129</t>
  </si>
  <si>
    <t>SRGAP2A/B/C/D</t>
  </si>
  <si>
    <t>0.000848 +- 0.000085</t>
  </si>
  <si>
    <t>SRGAP2A/B/C/D/CHIMP</t>
  </si>
  <si>
    <t>0.002256 +- 0.000089</t>
  </si>
  <si>
    <t>0.007636(0.021091) +- 0.000393</t>
  </si>
  <si>
    <t>T=2K/R</t>
  </si>
  <si>
    <t>human/chimp R (6 mya)</t>
  </si>
  <si>
    <t>First duplication (mya)</t>
  </si>
  <si>
    <t>Second duplication (mya)</t>
  </si>
  <si>
    <t>Third duplication (mya)</t>
  </si>
  <si>
    <t>panAbe2</t>
  </si>
  <si>
    <t>Segdup - "A"</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</si>
  <si>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63632 positions in the final dataset. Evolutionary analyses were conducted in MEGA7 [2]. </t>
  </si>
  <si>
    <t>Segdup - "B"</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</si>
  <si>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10547 positions in the final dataset. Evolutionary analyses were conducted in MEGA7 [2]. </t>
  </si>
  <si>
    <t>Segdup- "C"</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</si>
  <si>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56049 positions in the final dataset. Evolutionary analyses were conducted in MEGA7 [2]. </t>
  </si>
  <si>
    <t>Corr. Dist</t>
  </si>
  <si>
    <t>Corr. Factor</t>
  </si>
  <si>
    <t>A-C/D</t>
  </si>
  <si>
    <t>TajD (chimp-orang)</t>
  </si>
  <si>
    <t>p &lt; 0.05 fails RR test</t>
  </si>
  <si>
    <t xml:space="preserve">The number of base substitutions per site from between sequences are shown. Standard error estimate(s) are shown above the diagonal and were obtained by using analytical formulas. Analyses were conducted using the Kimura 2-parameter model [1]. The analysis involved 6 nucleotide sequences. All positions containing gaps and missing data were eliminated. There were a total of 130491 positions in the final dataset. Evolutionary analyses were conducted in MEGA6 [2].
</t>
  </si>
  <si>
    <t>SRGAP2B/B-D</t>
  </si>
  <si>
    <t>SRGAP2D/B-D</t>
  </si>
  <si>
    <t>SRGAP2C/C-B-D</t>
  </si>
  <si>
    <t>SRGAP2A/A-B-C-D</t>
  </si>
  <si>
    <t>TaJD (chimp-orang)</t>
  </si>
  <si>
    <t xml:space="preserve">chr1:145600141-145686998 </t>
  </si>
  <si>
    <t>chr1:147920587-148009863</t>
  </si>
  <si>
    <t>chr1:112658712-112746095</t>
  </si>
  <si>
    <t>chr1:105990848-106075652</t>
  </si>
  <si>
    <t>coordinates</t>
  </si>
  <si>
    <t>The number of base substitutions per site from between sequences are shown. Standard error estimate(s) are shown above the diagonal and were obtained by using analytical formulas. Analyses were conducted using the Kimura 2-parameter model [1]. The analysis involved 3 nucleotide sequences. All positions containing gaps and missing data were eliminated. There were a total of 83987 positions in the final dataset. Evolutionary analyses were conducted in MEGA6 [2].</t>
  </si>
  <si>
    <t>* Does not pass relative rate and tree is not concordant with species tree</t>
  </si>
  <si>
    <t xml:space="preserve">chr1:145606096-145686998 </t>
  </si>
  <si>
    <t>chr1:147926502-148009863</t>
  </si>
  <si>
    <t>chr1:112664668-112746095</t>
  </si>
  <si>
    <t>chr1:105990848-106069469</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</si>
  <si>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78127 positions in the final dataset. Evolutionary analyses were conducted in MEGA6 [2]. </t>
  </si>
  <si>
    <t>hg38 (CH17)</t>
  </si>
  <si>
    <t>CH251-31A21</t>
  </si>
  <si>
    <t>chr1:149644436-149828156</t>
  </si>
  <si>
    <t>chr1:120962786-121133389</t>
  </si>
  <si>
    <t>chr1:143733608-143920698</t>
  </si>
  <si>
    <t>REFINED (78,127 bp)</t>
  </si>
  <si>
    <t>FULL (83,987 bp)</t>
  </si>
  <si>
    <t>chr1:127810628-127998764</t>
  </si>
  <si>
    <t xml:space="preserve">The number of base substitutions per site from between sequences are shown. Standard error estimate(s) are shown above the diagonal. Analyses were conducted using the Kimura 2-parameter model [1]. The analysis involved 4 nucleotide sequences. All positions containing gaps and missing data were eliminated. There were a total of 167703 positions in the final dataset. Evolutionary analyses were conducted in MEGA6 [2]. </t>
  </si>
  <si>
    <t>FULL (167,703 bp)</t>
  </si>
  <si>
    <t>FCGR1_orang</t>
  </si>
  <si>
    <t>chr1:149751798-149824399</t>
  </si>
  <si>
    <t>chr1:143843595-143916651</t>
  </si>
  <si>
    <t>chr1:121056159-121129338</t>
  </si>
  <si>
    <t>77445-150003</t>
  </si>
  <si>
    <t>chrUn:11641630-11681251; chr1:101813732-101820502</t>
  </si>
  <si>
    <t>The number of base substitutions per site from between sequences are shown. Standard error estimate(s) are shown above the diagonal and were obtained by using analytical formulas. Analyses were conducted using the Kimura 2-parameter model [1]. The analysis involved 4 nucleotide sequences. All positions containing gaps and missing data were eliminated. There were a total of 72120 positions in the final dataset. Evolutionary analyses were conducted in MEGA6 [2].</t>
  </si>
  <si>
    <t>Initial dup</t>
  </si>
  <si>
    <t>REFINED (72,170 bp)</t>
  </si>
  <si>
    <t>FULL (39,347 bp)</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</si>
  <si>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39347 positions in the final dataset. Evolutionary analyses were conducted in MEGA6 [2]. </t>
  </si>
  <si>
    <t>chr2:86834206-86873841</t>
  </si>
  <si>
    <t>chr2a:23214029-23249147</t>
  </si>
  <si>
    <t>chr2:106475164-106515037</t>
  </si>
  <si>
    <t>CH17-181618</t>
  </si>
  <si>
    <t>reference coordinates</t>
  </si>
  <si>
    <t>chr2:111252926-111519068</t>
  </si>
  <si>
    <t>chr2:87431440-87697988</t>
  </si>
  <si>
    <t>chr2:111525223-111615296</t>
  </si>
  <si>
    <t>chr2:87246316-87333375</t>
  </si>
  <si>
    <t>chr2a:19232758-19502815</t>
  </si>
  <si>
    <t>chr2A:111522194-111628291</t>
  </si>
  <si>
    <t>chr2a:111635576-111730213</t>
  </si>
  <si>
    <t>chr2a:19512721-19620859</t>
  </si>
  <si>
    <t>MIR4435 FULL</t>
  </si>
  <si>
    <t>MIR4435_dist FULL</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</si>
  <si>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264394 positions in the final dataset. Evolutionary analyses were conducted in MEGA6 [2]. </t>
  </si>
  <si>
    <t>CH17 (2p11.2 assembly)</t>
  </si>
  <si>
    <t>CH251-349M6/CH251-19L3</t>
  </si>
  <si>
    <t>CH17 (2q13_A contig)</t>
  </si>
  <si>
    <t>chr2a:18206615-18386473</t>
  </si>
  <si>
    <t>Reference coordinates</t>
  </si>
  <si>
    <t>chr2:109736855-110095177</t>
  </si>
  <si>
    <t>chr2:110276211-110634615</t>
  </si>
  <si>
    <t>Reference coordinates (hg38)</t>
  </si>
  <si>
    <t>reference coordinates (hg38)</t>
  </si>
  <si>
    <t>FULL (239,984 bp)</t>
  </si>
  <si>
    <t>REFINED (49,121 bp)</t>
  </si>
  <si>
    <t>GRCh38 (RP11)</t>
  </si>
  <si>
    <t>chr2:130401551-130559948</t>
  </si>
  <si>
    <t>chr2:130560659-130719937</t>
  </si>
  <si>
    <t>chr2B:131152631-131297691</t>
  </si>
  <si>
    <t xml:space="preserve">chr2b:3867648-4013511 </t>
  </si>
  <si>
    <t>chr2:130510333-130559948</t>
  </si>
  <si>
    <t>chr2:130560659-130601316</t>
  </si>
  <si>
    <t>chr2b:3867648-3913476</t>
  </si>
  <si>
    <t>Phylogenetic neighbor joining tree (total positions: 105504)</t>
  </si>
  <si>
    <t>Branch</t>
  </si>
  <si>
    <t>Distance</t>
  </si>
  <si>
    <t>A-A/B</t>
  </si>
  <si>
    <t>A/B-A/B/chimp</t>
  </si>
  <si>
    <t>chimp-A/B/chimp</t>
  </si>
  <si>
    <t>FULL (125,296 bp)</t>
  </si>
  <si>
    <t>chr2B:131248402-131297691</t>
  </si>
  <si>
    <t>FULL (123,976 bp)</t>
  </si>
  <si>
    <t>CH251-119F12</t>
  </si>
  <si>
    <t>CH17 (DUSP22 chr6)</t>
  </si>
  <si>
    <t>CH17 (DUSP22 chr16)</t>
  </si>
  <si>
    <t>CH276-86L12</t>
  </si>
  <si>
    <t>chr6:256519-382461</t>
  </si>
  <si>
    <t>CH277-300A16</t>
  </si>
  <si>
    <t>TajD (orang)</t>
  </si>
  <si>
    <t>TajD (gorilla)</t>
  </si>
  <si>
    <t xml:space="preserve">The number of base substitutions per site from between sequences are shown. Standard error estimate(s) are shown above the diagonal. Analyses were conducted using the Kimura 2-parameter model [1]. The analysis involved 4 nucleotide sequences. All positions containing gaps and missing data were eliminated. There were a total of 35554 positions in the final dataset. Evolutionary analyses were conducted in MEGA6 [2]. </t>
  </si>
  <si>
    <t>7q11A REFINED (35,554 bp) &lt;-- very difficult to align this due to the existence of core SPYDE duplicons in the center</t>
  </si>
  <si>
    <t>7q11B full</t>
  </si>
  <si>
    <t>chr7:75217889-75254016</t>
  </si>
  <si>
    <t>chr7:73174796-73280590</t>
  </si>
  <si>
    <t>chr7:73174796-73232064</t>
  </si>
  <si>
    <t>** choose the first 55 kbp which avoids high copy number duplicons flanking and shows consistent divergence</t>
  </si>
  <si>
    <t>FULL ARHGEF5B</t>
  </si>
  <si>
    <t>FULL ARHGEF5C</t>
  </si>
  <si>
    <t>Coordinates (hg38)</t>
  </si>
  <si>
    <t>chr7:144353388-144377283</t>
  </si>
  <si>
    <t>chr7:144272352-144296188</t>
  </si>
  <si>
    <t>CH251-496K6</t>
  </si>
  <si>
    <t>chr7:141708678-141732535</t>
  </si>
  <si>
    <t>chr7:144300745-144364104</t>
  </si>
  <si>
    <t>chr7:144186949-144250231</t>
  </si>
  <si>
    <t>chr7:141655480-141719401</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</si>
  <si>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23764 positions in the final dataset. Evolutionary analyses were conducted in MEGA6 [2]. </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</si>
  <si>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62809 positions in the final dataset. Evolutionary analyses were conducted in MEGA6 [2]. </t>
  </si>
  <si>
    <t>chr7:141046351-141134819</t>
  </si>
  <si>
    <t>chr7:141149069-141159801</t>
  </si>
  <si>
    <t>chr7:141158880-141218504</t>
  </si>
  <si>
    <t>chr7:143742323-143807700</t>
  </si>
  <si>
    <t>chr7:143717516-143728107</t>
  </si>
  <si>
    <t>chr7:143587138-143639228</t>
  </si>
  <si>
    <t>chr7:143521769-143587141</t>
  </si>
  <si>
    <t>chr7:143807823-143818413</t>
  </si>
  <si>
    <t>chr7:143818415-143874696</t>
  </si>
  <si>
    <t>* Did not include complete alignment, avoided high copy region end of duplication (based on problems with other alignments in past)</t>
  </si>
  <si>
    <t>Reference coordinate (hg38)</t>
  </si>
  <si>
    <t>chr10:46396790-46706595</t>
  </si>
  <si>
    <t>chr10:47633807-47988326</t>
  </si>
  <si>
    <t>chr10:44617030-44780924</t>
  </si>
  <si>
    <t>chr10:48060017-48181659</t>
  </si>
  <si>
    <t>chr10:46870208-46991847</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</si>
  <si>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121433 positions in the final dataset. Evolutionary analyses were conducted in MEGA6 [2]. </t>
  </si>
  <si>
    <t>FULL ALIGNMENT</t>
  </si>
  <si>
    <t>gibbon</t>
  </si>
  <si>
    <t xml:space="preserve">GL397350:1526263-1550934 </t>
  </si>
  <si>
    <t>15_KI270905v1_alt:4822089-4847498</t>
  </si>
  <si>
    <t>15_KI270905v1_alt:2903044-2928492</t>
  </si>
  <si>
    <t>PARTIAL ALIGNMENT</t>
  </si>
  <si>
    <t>chr10:46531787-46706595</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</si>
  <si>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168466 positions in the final dataset. Evolutionary analyses were conducted in MEGA6 [2]. </t>
  </si>
  <si>
    <t>chr15_KI270905v1_alt:2515399-2662688</t>
  </si>
  <si>
    <t>chr15_KI270905v1_alt:4438360-4592318</t>
  </si>
  <si>
    <t>chr15:28089475-28215241</t>
  </si>
  <si>
    <t>chr16:70811377-71168670</t>
  </si>
  <si>
    <t>chr1:146541436-146905937</t>
  </si>
  <si>
    <t>chr16:70152021-70509542</t>
  </si>
  <si>
    <t>chr18:20940379-20959847</t>
  </si>
  <si>
    <t>chr18:112547-131692</t>
  </si>
  <si>
    <t>chr18:16589604-16608782</t>
  </si>
  <si>
    <t>chr18:32615969-32635341</t>
  </si>
  <si>
    <t>FULL (hg38 haplotype)</t>
  </si>
  <si>
    <t>Genomic coordinates (hg38)</t>
  </si>
  <si>
    <t>chr5:69533890-69629572</t>
  </si>
  <si>
    <t>chr5:70992104-71093996</t>
  </si>
  <si>
    <t>chr5:70409766-70485211</t>
  </si>
  <si>
    <t>CH251 contig</t>
  </si>
  <si>
    <t>chr5:70025196-70129604</t>
  </si>
  <si>
    <t>chr5:70900614-71005160</t>
  </si>
  <si>
    <t>chr5:71093999-71130056</t>
  </si>
  <si>
    <t>N/A</t>
  </si>
  <si>
    <t>chr5:71361548-71468278</t>
  </si>
  <si>
    <t>SMN1-2</t>
  </si>
  <si>
    <t>A1</t>
  </si>
  <si>
    <t>B1</t>
  </si>
  <si>
    <t>A2</t>
  </si>
  <si>
    <t>B2</t>
  </si>
  <si>
    <t>chr16:60693331-6106840</t>
  </si>
  <si>
    <t>CH276 contig</t>
  </si>
  <si>
    <t>GTF2H2A/OCLN</t>
  </si>
  <si>
    <t>GTF2H2B</t>
  </si>
  <si>
    <t xml:space="preserve">GTF2H2C </t>
  </si>
  <si>
    <t>7q11B REFINED (first  56,959 bp) (the entire full region alignment does not pass relative rate test)</t>
  </si>
  <si>
    <t>Refined to remove the flanking "core" duplicons</t>
  </si>
  <si>
    <t>Corrected to remove sites of gene conversion</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</si>
  <si>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34596 positions in the final dataset. Evolutionary analyses were conducted in MEGA6 [2]. </t>
  </si>
  <si>
    <t>Because B does not pass relative rate test, use neighbor joining branch length distances and error for A to perform timing estimates</t>
  </si>
  <si>
    <t>Removing tracts of gene conversion</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</si>
  <si>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340998 positions in the final dataset. Evolutionary analyses were conducted in MEGA6 [2]. </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</si>
  <si>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339991 positions in the final dataset. Evolutionary analyses were conducted in MEGA6 [2]. </t>
  </si>
  <si>
    <t>ROCK1A</t>
  </si>
  <si>
    <t>ROCK1B</t>
  </si>
  <si>
    <t>PTPN20_FRMPD2_B</t>
  </si>
  <si>
    <t>PTPN20_FRMPD2_A</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</si>
  <si>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114090 positions in the final dataset. Evolutionary analyses were conducted in MEGA6 [2]. </t>
  </si>
  <si>
    <t>GPRIN2A</t>
  </si>
  <si>
    <t>GPRIN2B</t>
  </si>
  <si>
    <t>PARTIAL ALIGNMENT with tracts of gene conversion removed</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</si>
  <si>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166373 positions in the final dataset. Evolutionary analyses were conducted in MEGA6 [2]. </t>
  </si>
  <si>
    <t>ARHGEFA</t>
  </si>
  <si>
    <t>ARHGEFB</t>
  </si>
  <si>
    <t>CFC1A</t>
  </si>
  <si>
    <t>CFC1B</t>
  </si>
  <si>
    <t>REFINED with gene conversion tracts removed</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</si>
  <si>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43907 positions in the final dataset. Evolutionary analyses were conducted in MEGA6 [2]. </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</si>
  <si>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48703 positions in the final dataset. Evolutionary analyses were conducted in MEGA6 [2]. </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</si>
  <si>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124889 positions in the final dataset. Evolutionary analyses were conducted in MEGA6 [2]. </t>
  </si>
  <si>
    <t>HYDIN</t>
  </si>
  <si>
    <t>HYDIN2</t>
  </si>
  <si>
    <t xml:space="preserve">The evolutionary history was inferred using the Neighbor-Joining method [1]. The optimal tree with the sum of branch length = 0.04495662 is shown. The confidence probability (multiplied by 100) that the interior branch length is greater than 0, as estimated using the bootstrap test (500 replicates is shown next to the branches [2, 3]. The tree is drawn to scale, with branch lengths (next to the branches) in the same units as those of the evolutionary distances used to infer the phylogenetic tree. The evolutionary distances were computed using the Kimura 2-parameter method [4] and are in the units of the number of base substitutions per site. The analysis involved 4 nucleotide sequences. All positions containing gaps and missing data were eliminated. There were a total of 105504 positions in the final dataset. Evolutionary analyses were conducted in MEGA6 [5].
</t>
  </si>
  <si>
    <t xml:space="preserve">Removed tracts of gene conversion </t>
  </si>
  <si>
    <t xml:space="preserve">The evolutionary history was inferred using the Neighbor-Joining method [1]. The optimal tree with the sum of branch length = 0.04470425 is shown. The confidence probability (multiplied by 100) that the interior branch length is greater than 0, as estimated using the bootstrap test (500 replicates is shown next to the branches [2, 3]. The tree is drawn to scale, with branch lengths (next to the branches) in the same units as those of the evolutionary distances used to infer the phylogenetic tree. The evolutionary distances were computed using the Kimura 2-parameter method [4] and are in the units of the number of base substitutions per site. The analysis involved 4 nucleotide sequences. All positions containing gaps and missing data were eliminated. There were a total of 101289 positions in the final dataset. Evolutionary analyses were conducted in MEGA6 [5].
</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</si>
  <si>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74054 positions in the final dataset. Evolutionary analyses were conducted in MEGA6 [2]. </t>
  </si>
  <si>
    <t>DUSP22B</t>
  </si>
  <si>
    <t>DUSP22A</t>
  </si>
  <si>
    <t>C-A/B</t>
  </si>
  <si>
    <t>B-A</t>
  </si>
  <si>
    <t>Removed tracts of gene conversion</t>
  </si>
  <si>
    <t xml:space="preserve">The number of base substitutions per site from between sequences are shown. Standard error estimate(s) are shown above the diagonal. Analyses were conducted using the Kimura 2-parameter model [1]. The analysis involved 4 nucleotide sequences. All positions containing gaps and missing data were eliminated. There were a total of 73793 positions in the final dataset. Evolutionary analyses were conducted in MEGA6 [2]. </t>
  </si>
  <si>
    <t xml:space="preserve">The number of base substitutions per site from between sequences are shown. Standard error estimate(s) are shown above the diagonal. Analyses were conducted using the Kimura 2-parameter model [1]. The analysis involved 4 nucleotide sequences. All positions containing gaps and missing data were eliminated. There were a total of 68853 positions in the final dataset. Evolutionary analyses were conducted in MEGA6 [2]. </t>
  </si>
  <si>
    <t>MIR4435 FULL (removed tracts of gene conversion)</t>
  </si>
  <si>
    <t xml:space="preserve">The number of base substitutions per site from between sequences are shown. Standard error estimate(s) are shown above the diagonal. Analyses were conducted using the Kimura 2-parameter model [1]. The analysis involved 3 nucleotide sequences. All positions containing gaps and missing data were eliminated. There were a total of 257571 positions in the final dataset. Evolutionary analyses were conducted in MEGA6 [2]. </t>
  </si>
  <si>
    <t>SMN2</t>
  </si>
  <si>
    <t>SMN1</t>
  </si>
  <si>
    <t>NAIP-C</t>
  </si>
  <si>
    <t>SMN2_SERF1B</t>
  </si>
  <si>
    <t>SMN1_SERF1A</t>
  </si>
  <si>
    <t>NAIPC_SMN2</t>
  </si>
  <si>
    <t xml:space="preserve">The number of base substitutions per site from between sequences are shown. Standard error estimate(s) are shown above the diagonal. Analyses were conducted using the Kimura 2-parameter model [1]. The analysis involved 4 nucleotide sequences. All positions containing gaps and missing data were eliminated. There were a total of 34861 positions in the final dataset. Evolutionary analyses were conducted in MEGA6 [2]. </t>
  </si>
  <si>
    <t xml:space="preserve">The number of base substitutions per site from between sequences are shown. Standard error estimate(s) are shown above the diagonal. Analyses were conducted using the Kimura 2-parameter model [1]. The analysis involved 4 nucleotide sequences. All positions containing gaps and missing data were eliminated. There were a total of 29211 positions in the final dataset. Evolutionary analyses were conducted in MEGA6 [2]. </t>
  </si>
  <si>
    <t xml:space="preserve">The number of base substitutions per site from between sequences are shown. Standard error estimate(s) are shown above the diagonal. Analyses were conducted using the Kimura 2-parameter model [1]. The analysis involved 4 nucleotide sequences. All positions containing gaps and missing data were eliminated. There were a total of 56904 positions in the final dataset. Evolutionary analyses were conducted in MEGA6 [2]. </t>
  </si>
  <si>
    <t>7q11B REFINED (first  56,959 bp) (remove tracts of gene conversion)</t>
  </si>
  <si>
    <t xml:space="preserve">The number of base substitutions per site from between sequences are shown. Standard error estimate(s) are shown above the diagonal. Analyses were conducted using the Kimura 2-parameter model [1]. The analysis involved 4 nucleotide sequences. All positions containing gaps and missing data were eliminated. There were a total of 47302 positions in the final dataset. Evolutionary analyses were conducted in MEGA6 [2]. </t>
  </si>
  <si>
    <t>Remove tracts of gene conversion</t>
  </si>
  <si>
    <t>Taj D (chimp-orang)</t>
  </si>
  <si>
    <t xml:space="preserve">The number of base substitutions per site from between sequences are shown. Standard error estimate(s) are shown above the diagonal. Analyses were conducted using the Kimura 2-parameter model [1]. The analysis involved 5 nucleotide sequences. All positions containing gaps and missing data were eliminated. There were a total of 129954 positions in the final dataset. Evolutionary analyses were conducted in MEGA6 [2]. </t>
  </si>
  <si>
    <t>0.001187 +- 0.000099</t>
  </si>
  <si>
    <t>0.001247 +- 0.000080</t>
  </si>
  <si>
    <t>0.002751 +- 0.000095</t>
  </si>
  <si>
    <t>0.002440 +- 0.000081</t>
  </si>
  <si>
    <t>0.004638 +- 0.000112</t>
  </si>
  <si>
    <t>0.013466(0.021063) +- 0.000326</t>
  </si>
  <si>
    <t>0.000905 +- 0.000110</t>
  </si>
  <si>
    <t>0.000858 +- 0.000055</t>
  </si>
  <si>
    <t>0.002261 +- 0.000111</t>
  </si>
  <si>
    <t>calculate corr</t>
  </si>
  <si>
    <t>SRGAP2A/SRGAP2B_C_D</t>
  </si>
  <si>
    <t>HUMAN/CHIMP</t>
  </si>
  <si>
    <t>err</t>
  </si>
  <si>
    <t xml:space="preserve">The evolutionary history was inferred using the Neighbor-Joining method [1]. The optimal tree with the sum of branch length = 0.03734441 is shown. The confidence probability (multiplied by 100) that the interior branch length is greater than 0, as estimated using the bootstrap test (500 replicates is shown next to the branches [2, 3]. The tree is drawn to scale, with branch lengths (next to the branches) in the same units as those of the evolutionary distances used to infer the phylogenetic tree. The evolutionary distances were computed using the Kimura 2-parameter method [4] and are in the units of the number of base substitutions per site. The analysis involved 6 nucleotide sequences. All positions containing gaps and missing data were eliminated. There were a total of 128871 positions in the final dataset. Evolutionary analyses were conducted in MEGA6 [5].
</t>
  </si>
  <si>
    <t>* Tree clearly does not pass relative rate test</t>
  </si>
  <si>
    <t xml:space="preserve">* The alignment did not include the core duplicons at end of duplication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</si>
</sst>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0000"/>
    <numFmt numFmtId="166" formatCode="0.0000000"/>
    <numFmt numFmtId="167" formatCode="0.000000"/>
  </numFmts>
  <fonts count="25" x14ac:knownFonts="1">
    <font>
      <sz val="12"/>
      <color theme="1"/>
      <name val="Calibri"/>
      <family val="2"/>
      <scheme val="minor"/>
    </font>
    <font>
      <b/>
      <sz val="12"/>
      <color theme="1"/>
      <name val="Calibri"/>
      <family val="2"/>
      <scheme val="minor"/>
    </font>
    <font>
      <sz val="10"/>
      <color indexed="12"/>
      <name val="Arial"/>
    </font>
    <font>
      <b/>
      <u/>
      <sz val="12"/>
      <color theme="1"/>
      <name val="Calibri"/>
      <scheme val="minor"/>
    </font>
    <font>
      <sz val="11"/>
      <color theme="1"/>
      <name val="Calibri"/>
      <family val="2"/>
      <scheme val="minor"/>
    </font>
    <font>
      <u/>
      <sz val="12"/>
      <color theme="10"/>
      <name val="Calibri"/>
      <family val="2"/>
      <scheme val="minor"/>
    </font>
    <font>
      <u/>
      <sz val="12"/>
      <color theme="11"/>
      <name val="Calibri"/>
      <family val="2"/>
      <scheme val="minor"/>
    </font>
    <font>
      <sz val="13"/>
      <color theme="1"/>
      <name val="Calibri"/>
      <scheme val="minor"/>
    </font>
    <font>
      <u/>
      <sz val="12"/>
      <color theme="1"/>
      <name val="Calibri"/>
      <scheme val="minor"/>
    </font>
    <font>
      <sz val="11"/>
      <color rgb="FF0000FF"/>
      <name val="Calibri"/>
      <scheme val="minor"/>
    </font>
    <font>
      <b/>
      <sz val="14"/>
      <color theme="1"/>
      <name val="Calibri"/>
      <scheme val="minor"/>
    </font>
    <font>
      <sz val="12"/>
      <color rgb="FF000000"/>
      <name val="Calibri"/>
      <family val="2"/>
      <scheme val="minor"/>
    </font>
    <font>
      <b/>
      <sz val="12"/>
      <color rgb="FF000000"/>
      <name val="Calibri"/>
      <family val="2"/>
      <scheme val="minor"/>
    </font>
    <font>
      <sz val="13"/>
      <color rgb="FF000000"/>
      <name val="Calibri"/>
      <scheme val="minor"/>
    </font>
    <font>
      <b/>
      <u/>
      <sz val="12"/>
      <color rgb="FF000000"/>
      <name val="Calibri"/>
      <scheme val="minor"/>
    </font>
    <font>
      <sz val="10"/>
      <color rgb="FF0000D4"/>
      <name val="Arial"/>
    </font>
    <font>
      <b/>
      <sz val="11"/>
      <color theme="1"/>
      <name val="Arial"/>
    </font>
    <font>
      <sz val="11"/>
      <color theme="1"/>
      <name val="Arial"/>
    </font>
    <font>
      <sz val="11"/>
      <color indexed="12"/>
      <name val="Arial"/>
    </font>
    <font>
      <b/>
      <u/>
      <sz val="11"/>
      <color theme="1"/>
      <name val="Arial"/>
    </font>
    <font>
      <sz val="11"/>
      <name val="Helvetica"/>
    </font>
    <font>
      <sz val="11"/>
      <color rgb="FF000000"/>
      <name val="Arial"/>
    </font>
    <font>
      <sz val="11"/>
      <color rgb="FF000000"/>
      <name val="Helvetica"/>
    </font>
    <font>
      <sz val="8"/>
      <name val="Calibri"/>
      <family val="2"/>
      <scheme val="minor"/>
    </font>
    <font>
      <sz val="12"/>
      <color rgb="FFFF0000"/>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FDE9D9"/>
        <bgColor rgb="FF000000"/>
      </patternFill>
    </fill>
    <fill>
      <patternFill patternType="solid">
        <fgColor theme="0" tint="-0.249977111117893"/>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702">
    <xf numFmtId="0" fontId="0" fillId="0" borderId="0"/>
    <xf numFmtId="0" fontId="4"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65">
    <xf numFmtId="0" fontId="0" fillId="0" borderId="0" xfId="0"/>
    <xf numFmtId="0" fontId="0" fillId="0" borderId="0" xfId="0"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0" fillId="0" borderId="4" xfId="0" applyBorder="1" applyAlignment="1">
      <alignment horizontal="center"/>
    </xf>
    <xf numFmtId="165" fontId="0" fillId="0" borderId="0" xfId="0" applyNumberFormat="1" applyBorder="1" applyAlignment="1">
      <alignment horizontal="center"/>
    </xf>
    <xf numFmtId="165" fontId="0" fillId="0" borderId="5" xfId="0" applyNumberFormat="1" applyBorder="1" applyAlignment="1">
      <alignment horizontal="center"/>
    </xf>
    <xf numFmtId="165" fontId="1" fillId="0" borderId="0" xfId="0" applyNumberFormat="1" applyFont="1" applyBorder="1" applyAlignment="1">
      <alignment horizontal="center"/>
    </xf>
    <xf numFmtId="165" fontId="1" fillId="0" borderId="5" xfId="0" applyNumberFormat="1" applyFont="1" applyBorder="1" applyAlignment="1">
      <alignment horizontal="center"/>
    </xf>
    <xf numFmtId="165" fontId="0" fillId="0" borderId="0" xfId="0" applyNumberFormat="1" applyFont="1" applyBorder="1" applyAlignment="1">
      <alignment horizontal="center"/>
    </xf>
    <xf numFmtId="165" fontId="0" fillId="0" borderId="5" xfId="0" applyNumberFormat="1" applyFont="1" applyBorder="1" applyAlignment="1">
      <alignment horizontal="center"/>
    </xf>
    <xf numFmtId="0" fontId="3" fillId="0" borderId="4" xfId="0" applyFont="1" applyBorder="1" applyAlignment="1">
      <alignment horizontal="center"/>
    </xf>
    <xf numFmtId="0" fontId="0" fillId="0" borderId="0" xfId="0" applyBorder="1" applyAlignment="1">
      <alignment horizontal="center"/>
    </xf>
    <xf numFmtId="0" fontId="0" fillId="0" borderId="5" xfId="0" applyBorder="1" applyAlignment="1">
      <alignment horizontal="center"/>
    </xf>
    <xf numFmtId="164" fontId="1" fillId="0" borderId="0" xfId="0" applyNumberFormat="1" applyFont="1" applyBorder="1" applyAlignment="1">
      <alignment horizontal="center"/>
    </xf>
    <xf numFmtId="164" fontId="1" fillId="0" borderId="5" xfId="0" applyNumberFormat="1"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164" fontId="1" fillId="0" borderId="7" xfId="0" applyNumberFormat="1" applyFont="1" applyBorder="1" applyAlignment="1">
      <alignment horizontal="center"/>
    </xf>
    <xf numFmtId="164" fontId="1" fillId="0" borderId="8" xfId="0" applyNumberFormat="1" applyFont="1" applyBorder="1" applyAlignment="1">
      <alignment horizontal="center"/>
    </xf>
    <xf numFmtId="0" fontId="1" fillId="0" borderId="0" xfId="0" applyFont="1"/>
    <xf numFmtId="164" fontId="0" fillId="0" borderId="0" xfId="0" applyNumberFormat="1"/>
    <xf numFmtId="1" fontId="0" fillId="0" borderId="0" xfId="0" applyNumberFormat="1" applyAlignment="1">
      <alignment horizontal="center"/>
    </xf>
    <xf numFmtId="165" fontId="0" fillId="0" borderId="0" xfId="0" applyNumberFormat="1" applyAlignment="1">
      <alignment horizontal="center"/>
    </xf>
    <xf numFmtId="164" fontId="2" fillId="0" borderId="0" xfId="0" applyNumberFormat="1" applyFont="1"/>
    <xf numFmtId="0" fontId="0" fillId="0" borderId="0" xfId="0" applyBorder="1"/>
    <xf numFmtId="0" fontId="0" fillId="0" borderId="7" xfId="0" applyBorder="1"/>
    <xf numFmtId="1" fontId="0" fillId="0" borderId="0" xfId="0" applyNumberFormat="1"/>
    <xf numFmtId="0" fontId="0" fillId="0" borderId="0" xfId="0" applyNumberFormat="1" applyAlignment="1">
      <alignment wrapText="1"/>
    </xf>
    <xf numFmtId="164" fontId="0" fillId="0" borderId="0" xfId="0" applyNumberFormat="1" applyBorder="1" applyAlignment="1">
      <alignment horizontal="center"/>
    </xf>
    <xf numFmtId="165" fontId="0" fillId="0" borderId="0" xfId="0" applyNumberFormat="1"/>
    <xf numFmtId="0" fontId="0" fillId="0" borderId="0" xfId="0" applyAlignment="1">
      <alignment horizontal="left"/>
    </xf>
    <xf numFmtId="0" fontId="7" fillId="0" borderId="0" xfId="0" applyFont="1"/>
    <xf numFmtId="0" fontId="0" fillId="0" borderId="9" xfId="0" applyBorder="1" applyAlignment="1">
      <alignment horizontal="center"/>
    </xf>
    <xf numFmtId="165" fontId="0" fillId="0" borderId="10" xfId="0" applyNumberFormat="1" applyBorder="1" applyAlignment="1">
      <alignment horizontal="center"/>
    </xf>
    <xf numFmtId="165" fontId="0" fillId="0" borderId="11" xfId="0" applyNumberFormat="1" applyBorder="1" applyAlignment="1">
      <alignment horizontal="center"/>
    </xf>
    <xf numFmtId="164" fontId="0" fillId="0" borderId="5" xfId="0" applyNumberFormat="1" applyBorder="1" applyAlignment="1">
      <alignment horizontal="center"/>
    </xf>
    <xf numFmtId="0" fontId="1" fillId="2" borderId="12" xfId="0" applyFont="1" applyFill="1" applyBorder="1" applyAlignment="1">
      <alignment horizontal="center"/>
    </xf>
    <xf numFmtId="165" fontId="0" fillId="0" borderId="13" xfId="0" applyNumberFormat="1" applyBorder="1" applyAlignment="1">
      <alignment horizontal="center"/>
    </xf>
    <xf numFmtId="165" fontId="1" fillId="0" borderId="13" xfId="0" applyNumberFormat="1" applyFont="1" applyBorder="1" applyAlignment="1">
      <alignment horizontal="center"/>
    </xf>
    <xf numFmtId="165" fontId="0" fillId="0" borderId="13" xfId="0" applyNumberFormat="1" applyFont="1" applyBorder="1" applyAlignment="1">
      <alignment horizontal="center"/>
    </xf>
    <xf numFmtId="164" fontId="1" fillId="0" borderId="13" xfId="0" applyNumberFormat="1" applyFont="1" applyBorder="1" applyAlignment="1">
      <alignment horizontal="center"/>
    </xf>
    <xf numFmtId="164" fontId="1" fillId="0" borderId="14" xfId="0" applyNumberFormat="1" applyFont="1" applyBorder="1" applyAlignment="1">
      <alignment horizontal="center"/>
    </xf>
    <xf numFmtId="164" fontId="0" fillId="0" borderId="13" xfId="0" applyNumberFormat="1" applyBorder="1" applyAlignment="1">
      <alignment horizontal="center"/>
    </xf>
    <xf numFmtId="164" fontId="0" fillId="0" borderId="7" xfId="0" applyNumberFormat="1" applyBorder="1" applyAlignment="1">
      <alignment horizontal="center"/>
    </xf>
    <xf numFmtId="0" fontId="0" fillId="0" borderId="0" xfId="0" applyNumberFormat="1"/>
    <xf numFmtId="165" fontId="7" fillId="0" borderId="0" xfId="0" applyNumberFormat="1" applyFont="1"/>
    <xf numFmtId="0" fontId="8" fillId="0" borderId="0" xfId="0" applyFont="1"/>
    <xf numFmtId="165" fontId="2" fillId="0" borderId="0" xfId="0" applyNumberFormat="1" applyFont="1"/>
    <xf numFmtId="165" fontId="9" fillId="0" borderId="0" xfId="0" applyNumberFormat="1" applyFont="1"/>
    <xf numFmtId="0" fontId="9" fillId="0" borderId="0" xfId="0" applyFont="1"/>
    <xf numFmtId="165" fontId="7" fillId="0" borderId="0" xfId="0" applyNumberFormat="1" applyFont="1" applyAlignment="1">
      <alignment horizontal="right"/>
    </xf>
    <xf numFmtId="164" fontId="0" fillId="0" borderId="0" xfId="0" applyNumberFormat="1" applyAlignment="1">
      <alignment horizontal="right"/>
    </xf>
    <xf numFmtId="0" fontId="0" fillId="0" borderId="0" xfId="0" applyAlignment="1">
      <alignment horizontal="right"/>
    </xf>
    <xf numFmtId="164" fontId="1" fillId="0" borderId="0" xfId="0" applyNumberFormat="1" applyFont="1"/>
    <xf numFmtId="166" fontId="0" fillId="0" borderId="0" xfId="0" applyNumberFormat="1"/>
    <xf numFmtId="166" fontId="2" fillId="0" borderId="0" xfId="0" applyNumberFormat="1" applyFont="1"/>
    <xf numFmtId="2" fontId="10" fillId="0" borderId="0" xfId="0" applyNumberFormat="1" applyFont="1" applyAlignment="1">
      <alignment horizontal="left"/>
    </xf>
    <xf numFmtId="1" fontId="0" fillId="0" borderId="0" xfId="0" applyNumberFormat="1" applyFill="1"/>
    <xf numFmtId="0" fontId="0" fillId="0" borderId="0" xfId="0" applyFill="1"/>
    <xf numFmtId="0" fontId="0" fillId="0" borderId="0" xfId="0" applyNumberFormat="1" applyAlignment="1">
      <alignment horizontal="left" vertical="top" wrapText="1"/>
    </xf>
    <xf numFmtId="0" fontId="11" fillId="0" borderId="0" xfId="0" applyFont="1"/>
    <xf numFmtId="0" fontId="11" fillId="0" borderId="0" xfId="0" applyFont="1" applyAlignment="1">
      <alignment horizontal="center"/>
    </xf>
    <xf numFmtId="164" fontId="11" fillId="0" borderId="0" xfId="0" applyNumberFormat="1" applyFont="1"/>
    <xf numFmtId="0" fontId="12" fillId="4" borderId="1" xfId="0" applyFont="1" applyFill="1" applyBorder="1" applyAlignment="1">
      <alignment horizontal="center"/>
    </xf>
    <xf numFmtId="0" fontId="12" fillId="4" borderId="2" xfId="0" applyFont="1" applyFill="1" applyBorder="1" applyAlignment="1">
      <alignment horizontal="center"/>
    </xf>
    <xf numFmtId="0" fontId="12" fillId="4" borderId="3" xfId="0" applyFont="1" applyFill="1" applyBorder="1" applyAlignment="1">
      <alignment horizontal="center"/>
    </xf>
    <xf numFmtId="1" fontId="11" fillId="0" borderId="0" xfId="0" applyNumberFormat="1" applyFont="1"/>
    <xf numFmtId="165" fontId="13" fillId="0" borderId="0" xfId="0" applyNumberFormat="1" applyFont="1" applyAlignment="1">
      <alignment horizontal="center"/>
    </xf>
    <xf numFmtId="0" fontId="11" fillId="0" borderId="4" xfId="0" applyFont="1" applyBorder="1" applyAlignment="1">
      <alignment horizontal="center"/>
    </xf>
    <xf numFmtId="0" fontId="14" fillId="0" borderId="4" xfId="0" applyFont="1" applyBorder="1" applyAlignment="1">
      <alignment horizontal="center"/>
    </xf>
    <xf numFmtId="164" fontId="15" fillId="0" borderId="0" xfId="0" applyNumberFormat="1" applyFont="1"/>
    <xf numFmtId="0" fontId="11" fillId="0" borderId="6" xfId="0" applyFont="1" applyBorder="1" applyAlignment="1">
      <alignment horizontal="center"/>
    </xf>
    <xf numFmtId="167" fontId="0" fillId="0" borderId="0" xfId="0" applyNumberFormat="1"/>
    <xf numFmtId="167" fontId="2" fillId="0" borderId="0" xfId="0" applyNumberFormat="1" applyFont="1"/>
    <xf numFmtId="0" fontId="17" fillId="0" borderId="0" xfId="0" applyFont="1"/>
    <xf numFmtId="0" fontId="17" fillId="0" borderId="0" xfId="0" applyFont="1" applyAlignment="1">
      <alignment horizontal="center"/>
    </xf>
    <xf numFmtId="0" fontId="17" fillId="0" borderId="0" xfId="0" applyFont="1" applyAlignment="1">
      <alignment horizontal="left"/>
    </xf>
    <xf numFmtId="164" fontId="17" fillId="0" borderId="0" xfId="0" applyNumberFormat="1" applyFont="1"/>
    <xf numFmtId="1" fontId="17" fillId="0" borderId="0" xfId="0" applyNumberFormat="1" applyFont="1"/>
    <xf numFmtId="167" fontId="17" fillId="0" borderId="0" xfId="0" applyNumberFormat="1" applyFont="1"/>
    <xf numFmtId="167" fontId="18" fillId="0" borderId="0" xfId="0" applyNumberFormat="1" applyFont="1"/>
    <xf numFmtId="164" fontId="18" fillId="0" borderId="0" xfId="0" applyNumberFormat="1" applyFont="1"/>
    <xf numFmtId="0" fontId="16" fillId="2" borderId="1" xfId="0" applyFont="1" applyFill="1" applyBorder="1" applyAlignment="1">
      <alignment horizontal="center"/>
    </xf>
    <xf numFmtId="0" fontId="16" fillId="2" borderId="2" xfId="0" applyFont="1" applyFill="1" applyBorder="1" applyAlignment="1">
      <alignment horizontal="center"/>
    </xf>
    <xf numFmtId="0" fontId="16" fillId="2" borderId="3" xfId="0" applyFont="1" applyFill="1" applyBorder="1" applyAlignment="1">
      <alignment horizontal="center"/>
    </xf>
    <xf numFmtId="0" fontId="17" fillId="0" borderId="4" xfId="0" applyFont="1" applyBorder="1" applyAlignment="1">
      <alignment horizontal="center"/>
    </xf>
    <xf numFmtId="165" fontId="17" fillId="0" borderId="0" xfId="0" applyNumberFormat="1" applyFont="1" applyBorder="1" applyAlignment="1">
      <alignment horizontal="center"/>
    </xf>
    <xf numFmtId="165" fontId="17" fillId="0" borderId="5" xfId="0" applyNumberFormat="1" applyFont="1" applyBorder="1" applyAlignment="1">
      <alignment horizontal="center"/>
    </xf>
    <xf numFmtId="165" fontId="16" fillId="0" borderId="5" xfId="0" applyNumberFormat="1" applyFont="1" applyBorder="1" applyAlignment="1">
      <alignment horizontal="center"/>
    </xf>
    <xf numFmtId="165" fontId="16" fillId="0" borderId="0" xfId="0" applyNumberFormat="1" applyFont="1" applyBorder="1" applyAlignment="1">
      <alignment horizontal="center"/>
    </xf>
    <xf numFmtId="0" fontId="19" fillId="0" borderId="4" xfId="0" applyFont="1" applyBorder="1" applyAlignment="1">
      <alignment horizontal="center"/>
    </xf>
    <xf numFmtId="0" fontId="17" fillId="0" borderId="0" xfId="0" applyFont="1" applyBorder="1" applyAlignment="1">
      <alignment horizontal="center"/>
    </xf>
    <xf numFmtId="0" fontId="17" fillId="0" borderId="5" xfId="0" applyFont="1" applyBorder="1" applyAlignment="1">
      <alignment horizontal="center"/>
    </xf>
    <xf numFmtId="164" fontId="17" fillId="0" borderId="0" xfId="0" applyNumberFormat="1" applyFont="1" applyBorder="1" applyAlignment="1">
      <alignment horizontal="center"/>
    </xf>
    <xf numFmtId="164" fontId="16" fillId="0" borderId="5" xfId="0" applyNumberFormat="1" applyFont="1" applyBorder="1" applyAlignment="1">
      <alignment horizontal="center"/>
    </xf>
    <xf numFmtId="0" fontId="17" fillId="0" borderId="6" xfId="0" applyFont="1" applyBorder="1" applyAlignment="1">
      <alignment horizontal="center"/>
    </xf>
    <xf numFmtId="0" fontId="17" fillId="0" borderId="7" xfId="0" applyFont="1" applyBorder="1" applyAlignment="1">
      <alignment horizontal="center"/>
    </xf>
    <xf numFmtId="164" fontId="16" fillId="0" borderId="8" xfId="0" applyNumberFormat="1" applyFont="1" applyBorder="1" applyAlignment="1">
      <alignment horizontal="center"/>
    </xf>
    <xf numFmtId="0" fontId="16" fillId="0" borderId="0" xfId="0" applyFont="1" applyFill="1" applyAlignment="1"/>
    <xf numFmtId="0" fontId="17" fillId="0" borderId="0" xfId="0" applyNumberFormat="1" applyFont="1" applyAlignment="1">
      <alignment vertical="top" wrapText="1"/>
    </xf>
    <xf numFmtId="165" fontId="17" fillId="0" borderId="0" xfId="0" applyNumberFormat="1" applyFont="1"/>
    <xf numFmtId="165" fontId="18" fillId="0" borderId="0" xfId="0" applyNumberFormat="1" applyFont="1"/>
    <xf numFmtId="164" fontId="0" fillId="0" borderId="0" xfId="0" applyNumberFormat="1" applyAlignment="1">
      <alignment wrapText="1"/>
    </xf>
    <xf numFmtId="0" fontId="1" fillId="0" borderId="0" xfId="0" applyFont="1" applyFill="1" applyBorder="1" applyAlignment="1">
      <alignment horizontal="center"/>
    </xf>
    <xf numFmtId="0" fontId="20" fillId="0" borderId="0" xfId="0" applyFont="1"/>
    <xf numFmtId="0" fontId="20" fillId="0" borderId="0" xfId="0" applyFont="1" applyFill="1" applyBorder="1" applyAlignment="1">
      <alignment horizontal="left"/>
    </xf>
    <xf numFmtId="164" fontId="21" fillId="0" borderId="0" xfId="0" applyNumberFormat="1" applyFont="1"/>
    <xf numFmtId="164" fontId="21" fillId="0" borderId="0" xfId="0" applyNumberFormat="1" applyFont="1" applyAlignment="1">
      <alignment horizontal="center"/>
    </xf>
    <xf numFmtId="164" fontId="17" fillId="0" borderId="0" xfId="0" applyNumberFormat="1" applyFont="1" applyAlignment="1">
      <alignment horizontal="center"/>
    </xf>
    <xf numFmtId="164" fontId="18" fillId="0" borderId="0" xfId="0" applyNumberFormat="1" applyFont="1" applyAlignment="1">
      <alignment horizontal="center"/>
    </xf>
    <xf numFmtId="1" fontId="21" fillId="0" borderId="0" xfId="0" applyNumberFormat="1" applyFont="1" applyAlignment="1">
      <alignment horizontal="center"/>
    </xf>
    <xf numFmtId="0" fontId="16" fillId="0" borderId="0" xfId="0" applyFont="1"/>
    <xf numFmtId="0" fontId="16" fillId="0" borderId="0" xfId="0" applyFont="1" applyAlignment="1">
      <alignment horizontal="center"/>
    </xf>
    <xf numFmtId="165" fontId="21" fillId="0" borderId="0" xfId="0" applyNumberFormat="1" applyFont="1" applyAlignment="1">
      <alignment horizontal="center"/>
    </xf>
    <xf numFmtId="164" fontId="21" fillId="0" borderId="0" xfId="0" applyNumberFormat="1" applyFont="1" applyAlignment="1">
      <alignment horizontal="left"/>
    </xf>
    <xf numFmtId="0" fontId="1" fillId="0" borderId="0" xfId="0" applyFont="1" applyFill="1" applyAlignment="1">
      <alignment horizontal="center"/>
    </xf>
    <xf numFmtId="0" fontId="0" fillId="0" borderId="0" xfId="0" applyFont="1" applyFill="1" applyAlignment="1">
      <alignment horizontal="left"/>
    </xf>
    <xf numFmtId="0" fontId="20" fillId="0" borderId="0" xfId="0" applyFont="1" applyFill="1" applyBorder="1" applyAlignment="1">
      <alignment horizontal="left" wrapText="1"/>
    </xf>
    <xf numFmtId="165" fontId="2" fillId="0" borderId="0" xfId="0" applyNumberFormat="1" applyFont="1" applyAlignment="1">
      <alignment horizontal="center"/>
    </xf>
    <xf numFmtId="0" fontId="22" fillId="0" borderId="0" xfId="0" applyFont="1" applyAlignment="1">
      <alignment horizontal="left"/>
    </xf>
    <xf numFmtId="0" fontId="22" fillId="0" borderId="0" xfId="0" applyFont="1" applyBorder="1" applyAlignment="1">
      <alignment horizontal="left"/>
    </xf>
    <xf numFmtId="0" fontId="22" fillId="0" borderId="0" xfId="0" applyFont="1" applyAlignment="1">
      <alignment horizontal="center"/>
    </xf>
    <xf numFmtId="0" fontId="22" fillId="0" borderId="0" xfId="0" applyFont="1" applyBorder="1" applyAlignment="1">
      <alignment horizontal="center"/>
    </xf>
    <xf numFmtId="1" fontId="0" fillId="0" borderId="0" xfId="0" applyNumberFormat="1" applyFill="1" applyAlignment="1">
      <alignment horizontal="center"/>
    </xf>
    <xf numFmtId="167" fontId="0" fillId="0" borderId="15" xfId="0" applyNumberForma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 fillId="0" borderId="13" xfId="0" applyFont="1" applyBorder="1" applyAlignment="1">
      <alignment horizontal="center"/>
    </xf>
    <xf numFmtId="165" fontId="0" fillId="0" borderId="0" xfId="0" applyNumberFormat="1" applyFill="1"/>
    <xf numFmtId="0" fontId="11" fillId="0" borderId="0" xfId="0" applyFont="1" applyAlignment="1">
      <alignment horizontal="left" vertical="top" wrapText="1"/>
    </xf>
    <xf numFmtId="0" fontId="12" fillId="4" borderId="6" xfId="0" applyFont="1" applyFill="1" applyBorder="1" applyAlignment="1">
      <alignment horizontal="center"/>
    </xf>
    <xf numFmtId="0" fontId="12" fillId="4" borderId="7" xfId="0" applyFont="1" applyFill="1" applyBorder="1" applyAlignment="1">
      <alignment horizontal="center"/>
    </xf>
    <xf numFmtId="0" fontId="12" fillId="4" borderId="8" xfId="0" applyFont="1" applyFill="1" applyBorder="1" applyAlignment="1">
      <alignment horizontal="center"/>
    </xf>
    <xf numFmtId="0" fontId="1" fillId="0" borderId="0" xfId="0" applyFont="1" applyFill="1" applyBorder="1" applyAlignment="1">
      <alignment horizontal="left"/>
    </xf>
    <xf numFmtId="0" fontId="1" fillId="0" borderId="7" xfId="0" applyFont="1" applyFill="1" applyBorder="1" applyAlignment="1">
      <alignment horizontal="left"/>
    </xf>
    <xf numFmtId="0" fontId="1" fillId="0" borderId="8" xfId="0" applyFont="1" applyFill="1" applyBorder="1" applyAlignment="1">
      <alignment horizontal="left"/>
    </xf>
    <xf numFmtId="0" fontId="0" fillId="0" borderId="0" xfId="0" applyAlignment="1">
      <alignment horizontal="left"/>
    </xf>
    <xf numFmtId="164" fontId="0" fillId="0" borderId="0" xfId="0" applyNumberFormat="1" applyFill="1"/>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24" fillId="0" borderId="0" xfId="0" applyFont="1"/>
    <xf numFmtId="0" fontId="1" fillId="0" borderId="0" xfId="0" applyFont="1" applyAlignment="1">
      <alignment horizontal="left"/>
    </xf>
    <xf numFmtId="0" fontId="0" fillId="0" borderId="0" xfId="0" applyNumberFormat="1" applyAlignment="1">
      <alignment horizontal="left" vertical="top" wrapText="1"/>
    </xf>
    <xf numFmtId="0" fontId="0" fillId="3" borderId="0" xfId="0" applyFill="1" applyAlignment="1">
      <alignment horizontal="left"/>
    </xf>
    <xf numFmtId="166" fontId="0" fillId="0" borderId="0" xfId="0" applyNumberFormat="1" applyAlignment="1">
      <alignment horizontal="left" wrapText="1"/>
    </xf>
    <xf numFmtId="0" fontId="0" fillId="0" borderId="0" xfId="0" applyAlignment="1">
      <alignment horizontal="left" wrapText="1"/>
    </xf>
    <xf numFmtId="0" fontId="17" fillId="0" borderId="0" xfId="0" applyNumberFormat="1" applyFont="1" applyAlignment="1">
      <alignment horizontal="left" vertical="top" wrapText="1"/>
    </xf>
    <xf numFmtId="0" fontId="16" fillId="3" borderId="0" xfId="0" applyFont="1" applyFill="1" applyAlignment="1">
      <alignment horizontal="left"/>
    </xf>
    <xf numFmtId="0" fontId="1" fillId="3" borderId="0" xfId="0" applyFont="1" applyFill="1" applyAlignment="1">
      <alignment horizontal="left"/>
    </xf>
    <xf numFmtId="0" fontId="0" fillId="0" borderId="0" xfId="0" applyNumberFormat="1" applyAlignment="1">
      <alignment horizontal="left" wrapText="1"/>
    </xf>
    <xf numFmtId="164" fontId="0" fillId="0" borderId="0" xfId="0" applyNumberFormat="1" applyAlignment="1">
      <alignment horizontal="left" wrapText="1"/>
    </xf>
    <xf numFmtId="0" fontId="17" fillId="0" borderId="0" xfId="0" applyNumberFormat="1" applyFont="1" applyAlignment="1">
      <alignment horizontal="left" wrapText="1"/>
    </xf>
    <xf numFmtId="0" fontId="11" fillId="0" borderId="0" xfId="0" applyFont="1" applyAlignment="1">
      <alignment horizontal="left" vertical="top" wrapText="1"/>
    </xf>
    <xf numFmtId="0" fontId="1" fillId="0" borderId="1" xfId="0" applyFont="1" applyFill="1" applyBorder="1" applyAlignment="1">
      <alignment horizontal="left"/>
    </xf>
    <xf numFmtId="0" fontId="1" fillId="0" borderId="2" xfId="0" applyFont="1" applyFill="1" applyBorder="1" applyAlignment="1">
      <alignment horizontal="left"/>
    </xf>
    <xf numFmtId="0" fontId="1" fillId="0" borderId="3" xfId="0" applyFont="1" applyFill="1" applyBorder="1" applyAlignment="1">
      <alignment horizontal="left"/>
    </xf>
    <xf numFmtId="0" fontId="0" fillId="0" borderId="0" xfId="0" applyAlignment="1">
      <alignment horizontal="left"/>
    </xf>
    <xf numFmtId="0" fontId="1" fillId="3" borderId="0" xfId="0" applyFont="1" applyFill="1" applyBorder="1" applyAlignment="1">
      <alignment horizontal="left"/>
    </xf>
    <xf numFmtId="0" fontId="1" fillId="5" borderId="0" xfId="0" applyFont="1" applyFill="1" applyAlignment="1">
      <alignment horizontal="left"/>
    </xf>
    <xf numFmtId="0" fontId="0" fillId="0" borderId="0" xfId="0" applyAlignment="1">
      <alignment horizontal="left" vertical="top" wrapText="1"/>
    </xf>
  </cellXfs>
  <cellStyles count="702">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Normal" xfId="0" builtinId="0"/>
    <cellStyle name="Normal 2" xfId="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theme" Target="theme/theme1.xml"/><Relationship Id="rId21" Type="http://schemas.openxmlformats.org/officeDocument/2006/relationships/styles" Target="styles.xml"/><Relationship Id="rId22" Type="http://schemas.openxmlformats.org/officeDocument/2006/relationships/sharedStrings" Target="sharedStrings.xml"/><Relationship Id="rId23"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 Id="rId2" Type="http://schemas.openxmlformats.org/officeDocument/2006/relationships/image" Target="../media/image2.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3.emf"/><Relationship Id="rId2" Type="http://schemas.openxmlformats.org/officeDocument/2006/relationships/image" Target="../media/image24.emf"/></Relationships>
</file>

<file path=xl/drawings/_rels/drawing11.xml.rels><?xml version="1.0" encoding="UTF-8" standalone="yes"?>
<Relationships xmlns="http://schemas.openxmlformats.org/package/2006/relationships"><Relationship Id="rId3" Type="http://schemas.openxmlformats.org/officeDocument/2006/relationships/image" Target="../media/image27.emf"/><Relationship Id="rId4" Type="http://schemas.openxmlformats.org/officeDocument/2006/relationships/image" Target="../media/image28.emf"/><Relationship Id="rId1" Type="http://schemas.openxmlformats.org/officeDocument/2006/relationships/image" Target="../media/image25.emf"/><Relationship Id="rId2" Type="http://schemas.openxmlformats.org/officeDocument/2006/relationships/image" Target="../media/image26.emf"/></Relationships>
</file>

<file path=xl/drawings/_rels/drawing12.xml.rels><?xml version="1.0" encoding="UTF-8" standalone="yes"?>
<Relationships xmlns="http://schemas.openxmlformats.org/package/2006/relationships"><Relationship Id="rId3" Type="http://schemas.openxmlformats.org/officeDocument/2006/relationships/image" Target="../media/image31.emf"/><Relationship Id="rId4" Type="http://schemas.openxmlformats.org/officeDocument/2006/relationships/image" Target="../media/image32.emf"/><Relationship Id="rId1" Type="http://schemas.openxmlformats.org/officeDocument/2006/relationships/image" Target="../media/image29.emf"/><Relationship Id="rId2" Type="http://schemas.openxmlformats.org/officeDocument/2006/relationships/image" Target="../media/image30.emf"/></Relationships>
</file>

<file path=xl/drawings/_rels/drawing13.xml.rels><?xml version="1.0" encoding="UTF-8" standalone="yes"?>
<Relationships xmlns="http://schemas.openxmlformats.org/package/2006/relationships"><Relationship Id="rId1" Type="http://schemas.openxmlformats.org/officeDocument/2006/relationships/image" Target="../media/image33.emf"/><Relationship Id="rId2" Type="http://schemas.openxmlformats.org/officeDocument/2006/relationships/image" Target="../media/image34.emf"/></Relationships>
</file>

<file path=xl/drawings/_rels/drawing14.xml.rels><?xml version="1.0" encoding="UTF-8" standalone="yes"?>
<Relationships xmlns="http://schemas.openxmlformats.org/package/2006/relationships"><Relationship Id="rId1" Type="http://schemas.openxmlformats.org/officeDocument/2006/relationships/image" Target="../media/image35.emf"/></Relationships>
</file>

<file path=xl/drawings/_rels/drawing15.xml.rels><?xml version="1.0" encoding="UTF-8" standalone="yes"?>
<Relationships xmlns="http://schemas.openxmlformats.org/package/2006/relationships"><Relationship Id="rId1" Type="http://schemas.openxmlformats.org/officeDocument/2006/relationships/image" Target="../media/image36.emf"/></Relationships>
</file>

<file path=xl/drawings/_rels/drawing16.xml.rels><?xml version="1.0" encoding="UTF-8" standalone="yes"?>
<Relationships xmlns="http://schemas.openxmlformats.org/package/2006/relationships"><Relationship Id="rId1" Type="http://schemas.openxmlformats.org/officeDocument/2006/relationships/image" Target="../media/image37.emf"/><Relationship Id="rId2" Type="http://schemas.openxmlformats.org/officeDocument/2006/relationships/image" Target="../media/image38.emf"/></Relationships>
</file>

<file path=xl/drawings/_rels/drawing17.xml.rels><?xml version="1.0" encoding="UTF-8" standalone="yes"?>
<Relationships xmlns="http://schemas.openxmlformats.org/package/2006/relationships"><Relationship Id="rId1" Type="http://schemas.openxmlformats.org/officeDocument/2006/relationships/image" Target="../media/image39.emf"/></Relationships>
</file>

<file path=xl/drawings/_rels/drawing18.xml.rels><?xml version="1.0" encoding="UTF-8" standalone="yes"?>
<Relationships xmlns="http://schemas.openxmlformats.org/package/2006/relationships"><Relationship Id="rId1" Type="http://schemas.openxmlformats.org/officeDocument/2006/relationships/image" Target="../media/image40.emf"/><Relationship Id="rId2" Type="http://schemas.openxmlformats.org/officeDocument/2006/relationships/image" Target="../media/image4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42.emf"/><Relationship Id="rId2" Type="http://schemas.openxmlformats.org/officeDocument/2006/relationships/image" Target="../media/image43.em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 Id="rId2" Type="http://schemas.openxmlformats.org/officeDocument/2006/relationships/image" Target="../media/image4.emf"/><Relationship Id="rId3" Type="http://schemas.openxmlformats.org/officeDocument/2006/relationships/image" Target="../media/image5.emf"/></Relationships>
</file>

<file path=xl/drawings/_rels/drawing3.xml.rels><?xml version="1.0" encoding="UTF-8" standalone="yes"?>
<Relationships xmlns="http://schemas.openxmlformats.org/package/2006/relationships"><Relationship Id="rId1" Type="http://schemas.openxmlformats.org/officeDocument/2006/relationships/image" Target="../media/image6.emf"/><Relationship Id="rId2" Type="http://schemas.openxmlformats.org/officeDocument/2006/relationships/image" Target="../media/image7.emf"/><Relationship Id="rId3" Type="http://schemas.openxmlformats.org/officeDocument/2006/relationships/image" Target="../media/image8.emf"/></Relationships>
</file>

<file path=xl/drawings/_rels/drawing4.xml.rels><?xml version="1.0" encoding="UTF-8" standalone="yes"?>
<Relationships xmlns="http://schemas.openxmlformats.org/package/2006/relationships"><Relationship Id="rId1" Type="http://schemas.openxmlformats.org/officeDocument/2006/relationships/image" Target="../media/image9.emf"/></Relationships>
</file>

<file path=xl/drawings/_rels/drawing5.xml.rels><?xml version="1.0" encoding="UTF-8" standalone="yes"?>
<Relationships xmlns="http://schemas.openxmlformats.org/package/2006/relationships"><Relationship Id="rId1" Type="http://schemas.openxmlformats.org/officeDocument/2006/relationships/image" Target="../media/image10.emf"/><Relationship Id="rId2" Type="http://schemas.openxmlformats.org/officeDocument/2006/relationships/image" Target="../media/image11.emf"/><Relationship Id="rId3" Type="http://schemas.openxmlformats.org/officeDocument/2006/relationships/image" Target="../media/image12.emf"/></Relationships>
</file>

<file path=xl/drawings/_rels/drawing6.xml.rels><?xml version="1.0" encoding="UTF-8" standalone="yes"?>
<Relationships xmlns="http://schemas.openxmlformats.org/package/2006/relationships"><Relationship Id="rId1" Type="http://schemas.openxmlformats.org/officeDocument/2006/relationships/image" Target="../media/image13.emf"/></Relationships>
</file>

<file path=xl/drawings/_rels/drawing7.xml.rels><?xml version="1.0" encoding="UTF-8" standalone="yes"?>
<Relationships xmlns="http://schemas.openxmlformats.org/package/2006/relationships"><Relationship Id="rId1" Type="http://schemas.openxmlformats.org/officeDocument/2006/relationships/image" Target="../media/image14.emf"/><Relationship Id="rId2" Type="http://schemas.openxmlformats.org/officeDocument/2006/relationships/image" Target="../media/image15.emf"/><Relationship Id="rId3" Type="http://schemas.openxmlformats.org/officeDocument/2006/relationships/image" Target="../media/image16.emf"/></Relationships>
</file>

<file path=xl/drawings/_rels/drawing8.xml.rels><?xml version="1.0" encoding="UTF-8" standalone="yes"?>
<Relationships xmlns="http://schemas.openxmlformats.org/package/2006/relationships"><Relationship Id="rId1" Type="http://schemas.openxmlformats.org/officeDocument/2006/relationships/image" Target="../media/image17.emf"/></Relationships>
</file>

<file path=xl/drawings/_rels/drawing9.xml.rels><?xml version="1.0" encoding="UTF-8" standalone="yes"?>
<Relationships xmlns="http://schemas.openxmlformats.org/package/2006/relationships"><Relationship Id="rId3" Type="http://schemas.openxmlformats.org/officeDocument/2006/relationships/image" Target="../media/image20.emf"/><Relationship Id="rId4" Type="http://schemas.openxmlformats.org/officeDocument/2006/relationships/image" Target="../media/image21.emf"/><Relationship Id="rId5" Type="http://schemas.openxmlformats.org/officeDocument/2006/relationships/image" Target="../media/image22.emf"/><Relationship Id="rId1" Type="http://schemas.openxmlformats.org/officeDocument/2006/relationships/image" Target="../media/image18.emf"/><Relationship Id="rId2"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xdr:twoCellAnchor editAs="oneCell">
    <xdr:from>
      <xdr:col>6</xdr:col>
      <xdr:colOff>431800</xdr:colOff>
      <xdr:row>9</xdr:row>
      <xdr:rowOff>182504</xdr:rowOff>
    </xdr:from>
    <xdr:to>
      <xdr:col>16</xdr:col>
      <xdr:colOff>622300</xdr:colOff>
      <xdr:row>41</xdr:row>
      <xdr:rowOff>63500</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23200" y="2214504"/>
          <a:ext cx="9398000" cy="6091296"/>
        </a:xfrm>
        <a:prstGeom prst="rect">
          <a:avLst/>
        </a:prstGeom>
        <a:solidFill>
          <a:schemeClr val="bg1"/>
        </a:solidFill>
      </xdr:spPr>
    </xdr:pic>
    <xdr:clientData/>
  </xdr:twoCellAnchor>
  <xdr:twoCellAnchor editAs="oneCell">
    <xdr:from>
      <xdr:col>6</xdr:col>
      <xdr:colOff>667426</xdr:colOff>
      <xdr:row>59</xdr:row>
      <xdr:rowOff>63500</xdr:rowOff>
    </xdr:from>
    <xdr:to>
      <xdr:col>13</xdr:col>
      <xdr:colOff>381000</xdr:colOff>
      <xdr:row>73</xdr:row>
      <xdr:rowOff>76200</xdr:rowOff>
    </xdr:to>
    <xdr:pic>
      <xdr:nvPicPr>
        <xdr:cNvPr id="3" name="Picture 2"/>
        <xdr:cNvPicPr>
          <a:picLocks noChangeAspect="1"/>
        </xdr:cNvPicPr>
      </xdr:nvPicPr>
      <xdr:blipFill>
        <a:blip xmlns:r="http://schemas.openxmlformats.org/officeDocument/2006/relationships" r:embed="rId2"/>
        <a:stretch>
          <a:fillRect/>
        </a:stretch>
      </xdr:blipFill>
      <xdr:spPr>
        <a:xfrm>
          <a:off x="8058826" y="13373100"/>
          <a:ext cx="6444574" cy="2857500"/>
        </a:xfrm>
        <a:prstGeom prst="rect">
          <a:avLst/>
        </a:prstGeom>
        <a:solidFill>
          <a:schemeClr val="bg1"/>
        </a:solidFill>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292100</xdr:colOff>
      <xdr:row>10</xdr:row>
      <xdr:rowOff>152400</xdr:rowOff>
    </xdr:from>
    <xdr:to>
      <xdr:col>5</xdr:col>
      <xdr:colOff>64285</xdr:colOff>
      <xdr:row>25</xdr:row>
      <xdr:rowOff>177800</xdr:rowOff>
    </xdr:to>
    <xdr:pic>
      <xdr:nvPicPr>
        <xdr:cNvPr id="2" name="Picture 1" descr="10a_ARHGEF5B_full_tree.pd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2100" y="2463800"/>
          <a:ext cx="5004585" cy="2882900"/>
        </a:xfrm>
        <a:prstGeom prst="rect">
          <a:avLst/>
        </a:prstGeom>
        <a:solidFill>
          <a:schemeClr val="bg1"/>
        </a:solidFill>
      </xdr:spPr>
    </xdr:pic>
    <xdr:clientData/>
  </xdr:twoCellAnchor>
  <xdr:twoCellAnchor editAs="oneCell">
    <xdr:from>
      <xdr:col>0</xdr:col>
      <xdr:colOff>76200</xdr:colOff>
      <xdr:row>38</xdr:row>
      <xdr:rowOff>0</xdr:rowOff>
    </xdr:from>
    <xdr:to>
      <xdr:col>5</xdr:col>
      <xdr:colOff>367748</xdr:colOff>
      <xdr:row>54</xdr:row>
      <xdr:rowOff>50800</xdr:rowOff>
    </xdr:to>
    <xdr:pic>
      <xdr:nvPicPr>
        <xdr:cNvPr id="3" name="Picture 2" descr="10b_ARHGEF5C_full_tree.pdf"/>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200" y="8115300"/>
          <a:ext cx="5523948" cy="3098800"/>
        </a:xfrm>
        <a:prstGeom prst="rect">
          <a:avLst/>
        </a:prstGeom>
        <a:solidFill>
          <a:srgbClr val="FFFFFF"/>
        </a:solid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419100</xdr:colOff>
      <xdr:row>1</xdr:row>
      <xdr:rowOff>25400</xdr:rowOff>
    </xdr:from>
    <xdr:to>
      <xdr:col>18</xdr:col>
      <xdr:colOff>635000</xdr:colOff>
      <xdr:row>7</xdr:row>
      <xdr:rowOff>101600</xdr:rowOff>
    </xdr:to>
    <xdr:pic>
      <xdr:nvPicPr>
        <xdr:cNvPr id="2" name="Picture 1" descr="11_TCAF_A_full_tree.pd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0100" y="215900"/>
          <a:ext cx="4343400" cy="1244600"/>
        </a:xfrm>
        <a:prstGeom prst="rect">
          <a:avLst/>
        </a:prstGeom>
        <a:solidFill>
          <a:srgbClr val="FFFFFF"/>
        </a:solidFill>
      </xdr:spPr>
    </xdr:pic>
    <xdr:clientData/>
  </xdr:twoCellAnchor>
  <xdr:twoCellAnchor editAs="oneCell">
    <xdr:from>
      <xdr:col>13</xdr:col>
      <xdr:colOff>419100</xdr:colOff>
      <xdr:row>11</xdr:row>
      <xdr:rowOff>0</xdr:rowOff>
    </xdr:from>
    <xdr:to>
      <xdr:col>18</xdr:col>
      <xdr:colOff>635000</xdr:colOff>
      <xdr:row>17</xdr:row>
      <xdr:rowOff>76200</xdr:rowOff>
    </xdr:to>
    <xdr:pic>
      <xdr:nvPicPr>
        <xdr:cNvPr id="3" name="Picture 2" descr="11_TCAF_B_full_tree.pdf"/>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30100" y="2743200"/>
          <a:ext cx="4343400" cy="1244600"/>
        </a:xfrm>
        <a:prstGeom prst="rect">
          <a:avLst/>
        </a:prstGeom>
        <a:solidFill>
          <a:srgbClr val="FFFFFF"/>
        </a:solidFill>
      </xdr:spPr>
    </xdr:pic>
    <xdr:clientData/>
  </xdr:twoCellAnchor>
  <xdr:twoCellAnchor editAs="oneCell">
    <xdr:from>
      <xdr:col>13</xdr:col>
      <xdr:colOff>419100</xdr:colOff>
      <xdr:row>19</xdr:row>
      <xdr:rowOff>177800</xdr:rowOff>
    </xdr:from>
    <xdr:to>
      <xdr:col>18</xdr:col>
      <xdr:colOff>635000</xdr:colOff>
      <xdr:row>26</xdr:row>
      <xdr:rowOff>63500</xdr:rowOff>
    </xdr:to>
    <xdr:pic>
      <xdr:nvPicPr>
        <xdr:cNvPr id="4" name="Picture 3" descr="11_TCAF_C_full_tree.pdf"/>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230100" y="5092700"/>
          <a:ext cx="4343400" cy="1244600"/>
        </a:xfrm>
        <a:prstGeom prst="rect">
          <a:avLst/>
        </a:prstGeom>
        <a:solidFill>
          <a:srgbClr val="FFFFFF"/>
        </a:solidFill>
      </xdr:spPr>
    </xdr:pic>
    <xdr:clientData/>
  </xdr:twoCellAnchor>
  <xdr:twoCellAnchor editAs="oneCell">
    <xdr:from>
      <xdr:col>13</xdr:col>
      <xdr:colOff>228600</xdr:colOff>
      <xdr:row>30</xdr:row>
      <xdr:rowOff>139700</xdr:rowOff>
    </xdr:from>
    <xdr:to>
      <xdr:col>18</xdr:col>
      <xdr:colOff>444500</xdr:colOff>
      <xdr:row>37</xdr:row>
      <xdr:rowOff>88900</xdr:rowOff>
    </xdr:to>
    <xdr:pic>
      <xdr:nvPicPr>
        <xdr:cNvPr id="5" name="Picture 4"/>
        <xdr:cNvPicPr>
          <a:picLocks noChangeAspect="1"/>
        </xdr:cNvPicPr>
      </xdr:nvPicPr>
      <xdr:blipFill>
        <a:blip xmlns:r="http://schemas.openxmlformats.org/officeDocument/2006/relationships" r:embed="rId4"/>
        <a:stretch>
          <a:fillRect/>
        </a:stretch>
      </xdr:blipFill>
      <xdr:spPr>
        <a:xfrm>
          <a:off x="12039600" y="8140700"/>
          <a:ext cx="4343400" cy="1397000"/>
        </a:xfrm>
        <a:prstGeom prst="rect">
          <a:avLst/>
        </a:prstGeom>
        <a:solidFill>
          <a:schemeClr val="bg1"/>
        </a:solidFill>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101600</xdr:colOff>
      <xdr:row>12</xdr:row>
      <xdr:rowOff>152400</xdr:rowOff>
    </xdr:from>
    <xdr:to>
      <xdr:col>5</xdr:col>
      <xdr:colOff>764540</xdr:colOff>
      <xdr:row>23</xdr:row>
      <xdr:rowOff>12700</xdr:rowOff>
    </xdr:to>
    <xdr:pic>
      <xdr:nvPicPr>
        <xdr:cNvPr id="2" name="Picture 1" descr="12_GPRIN2_full_tree.pd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600" y="2933700"/>
          <a:ext cx="5831840" cy="1955800"/>
        </a:xfrm>
        <a:prstGeom prst="rect">
          <a:avLst/>
        </a:prstGeom>
        <a:solidFill>
          <a:srgbClr val="FFFFFF"/>
        </a:solidFill>
      </xdr:spPr>
    </xdr:pic>
    <xdr:clientData/>
  </xdr:twoCellAnchor>
  <xdr:twoCellAnchor editAs="oneCell">
    <xdr:from>
      <xdr:col>7</xdr:col>
      <xdr:colOff>101600</xdr:colOff>
      <xdr:row>12</xdr:row>
      <xdr:rowOff>34924</xdr:rowOff>
    </xdr:from>
    <xdr:to>
      <xdr:col>11</xdr:col>
      <xdr:colOff>203200</xdr:colOff>
      <xdr:row>28</xdr:row>
      <xdr:rowOff>63499</xdr:rowOff>
    </xdr:to>
    <xdr:pic>
      <xdr:nvPicPr>
        <xdr:cNvPr id="5" name="Picture 4" descr="12_GPRIN2_full_pairwise.pdf"/>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921500" y="3006724"/>
          <a:ext cx="4102100" cy="3076575"/>
        </a:xfrm>
        <a:prstGeom prst="rect">
          <a:avLst/>
        </a:prstGeom>
      </xdr:spPr>
    </xdr:pic>
    <xdr:clientData/>
  </xdr:twoCellAnchor>
  <xdr:twoCellAnchor editAs="oneCell">
    <xdr:from>
      <xdr:col>14</xdr:col>
      <xdr:colOff>25400</xdr:colOff>
      <xdr:row>32</xdr:row>
      <xdr:rowOff>63500</xdr:rowOff>
    </xdr:from>
    <xdr:to>
      <xdr:col>18</xdr:col>
      <xdr:colOff>723900</xdr:colOff>
      <xdr:row>39</xdr:row>
      <xdr:rowOff>12700</xdr:rowOff>
    </xdr:to>
    <xdr:pic>
      <xdr:nvPicPr>
        <xdr:cNvPr id="3" name="Picture 2"/>
        <xdr:cNvPicPr>
          <a:picLocks noChangeAspect="1"/>
        </xdr:cNvPicPr>
      </xdr:nvPicPr>
      <xdr:blipFill>
        <a:blip xmlns:r="http://schemas.openxmlformats.org/officeDocument/2006/relationships" r:embed="rId3"/>
        <a:stretch>
          <a:fillRect/>
        </a:stretch>
      </xdr:blipFill>
      <xdr:spPr>
        <a:xfrm>
          <a:off x="13322300" y="7239000"/>
          <a:ext cx="4000500" cy="1397000"/>
        </a:xfrm>
        <a:prstGeom prst="rect">
          <a:avLst/>
        </a:prstGeom>
        <a:solidFill>
          <a:schemeClr val="bg1"/>
        </a:solidFill>
      </xdr:spPr>
    </xdr:pic>
    <xdr:clientData/>
  </xdr:twoCellAnchor>
  <xdr:twoCellAnchor editAs="oneCell">
    <xdr:from>
      <xdr:col>14</xdr:col>
      <xdr:colOff>152400</xdr:colOff>
      <xdr:row>41</xdr:row>
      <xdr:rowOff>101600</xdr:rowOff>
    </xdr:from>
    <xdr:to>
      <xdr:col>19</xdr:col>
      <xdr:colOff>25400</xdr:colOff>
      <xdr:row>48</xdr:row>
      <xdr:rowOff>50800</xdr:rowOff>
    </xdr:to>
    <xdr:pic>
      <xdr:nvPicPr>
        <xdr:cNvPr id="4" name="Picture 3"/>
        <xdr:cNvPicPr>
          <a:picLocks noChangeAspect="1"/>
        </xdr:cNvPicPr>
      </xdr:nvPicPr>
      <xdr:blipFill>
        <a:blip xmlns:r="http://schemas.openxmlformats.org/officeDocument/2006/relationships" r:embed="rId4"/>
        <a:stretch>
          <a:fillRect/>
        </a:stretch>
      </xdr:blipFill>
      <xdr:spPr>
        <a:xfrm>
          <a:off x="13449300" y="9702800"/>
          <a:ext cx="4000500" cy="1397000"/>
        </a:xfrm>
        <a:prstGeom prst="rect">
          <a:avLst/>
        </a:prstGeom>
        <a:solidFill>
          <a:schemeClr val="bg1"/>
        </a:solidFill>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14</xdr:col>
      <xdr:colOff>723900</xdr:colOff>
      <xdr:row>1</xdr:row>
      <xdr:rowOff>127000</xdr:rowOff>
    </xdr:from>
    <xdr:to>
      <xdr:col>20</xdr:col>
      <xdr:colOff>254000</xdr:colOff>
      <xdr:row>8</xdr:row>
      <xdr:rowOff>279400</xdr:rowOff>
    </xdr:to>
    <xdr:pic>
      <xdr:nvPicPr>
        <xdr:cNvPr id="2" name="Picture 1"/>
        <xdr:cNvPicPr>
          <a:picLocks noChangeAspect="1"/>
        </xdr:cNvPicPr>
      </xdr:nvPicPr>
      <xdr:blipFill>
        <a:blip xmlns:r="http://schemas.openxmlformats.org/officeDocument/2006/relationships" r:embed="rId1"/>
        <a:stretch>
          <a:fillRect/>
        </a:stretch>
      </xdr:blipFill>
      <xdr:spPr>
        <a:xfrm>
          <a:off x="15163800" y="330200"/>
          <a:ext cx="4483100" cy="1600200"/>
        </a:xfrm>
        <a:prstGeom prst="rect">
          <a:avLst/>
        </a:prstGeom>
        <a:solidFill>
          <a:schemeClr val="bg1"/>
        </a:solidFill>
      </xdr:spPr>
    </xdr:pic>
    <xdr:clientData/>
  </xdr:twoCellAnchor>
  <xdr:twoCellAnchor editAs="oneCell">
    <xdr:from>
      <xdr:col>15</xdr:col>
      <xdr:colOff>88900</xdr:colOff>
      <xdr:row>11</xdr:row>
      <xdr:rowOff>63500</xdr:rowOff>
    </xdr:from>
    <xdr:to>
      <xdr:col>20</xdr:col>
      <xdr:colOff>444500</xdr:colOff>
      <xdr:row>19</xdr:row>
      <xdr:rowOff>12700</xdr:rowOff>
    </xdr:to>
    <xdr:pic>
      <xdr:nvPicPr>
        <xdr:cNvPr id="3" name="Picture 2"/>
        <xdr:cNvPicPr>
          <a:picLocks noChangeAspect="1"/>
        </xdr:cNvPicPr>
      </xdr:nvPicPr>
      <xdr:blipFill>
        <a:blip xmlns:r="http://schemas.openxmlformats.org/officeDocument/2006/relationships" r:embed="rId2"/>
        <a:stretch>
          <a:fillRect/>
        </a:stretch>
      </xdr:blipFill>
      <xdr:spPr>
        <a:xfrm>
          <a:off x="15354300" y="2768600"/>
          <a:ext cx="4483100" cy="1600200"/>
        </a:xfrm>
        <a:prstGeom prst="rect">
          <a:avLst/>
        </a:prstGeom>
        <a:solidFill>
          <a:schemeClr val="bg1"/>
        </a:solid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14</xdr:col>
      <xdr:colOff>457200</xdr:colOff>
      <xdr:row>1</xdr:row>
      <xdr:rowOff>152400</xdr:rowOff>
    </xdr:from>
    <xdr:to>
      <xdr:col>19</xdr:col>
      <xdr:colOff>508000</xdr:colOff>
      <xdr:row>7</xdr:row>
      <xdr:rowOff>330200</xdr:rowOff>
    </xdr:to>
    <xdr:pic>
      <xdr:nvPicPr>
        <xdr:cNvPr id="2" name="Picture 1"/>
        <xdr:cNvPicPr>
          <a:picLocks noChangeAspect="1"/>
        </xdr:cNvPicPr>
      </xdr:nvPicPr>
      <xdr:blipFill>
        <a:blip xmlns:r="http://schemas.openxmlformats.org/officeDocument/2006/relationships" r:embed="rId1"/>
        <a:stretch>
          <a:fillRect/>
        </a:stretch>
      </xdr:blipFill>
      <xdr:spPr>
        <a:xfrm>
          <a:off x="14198600" y="355600"/>
          <a:ext cx="4178300" cy="1397000"/>
        </a:xfrm>
        <a:prstGeom prst="rect">
          <a:avLst/>
        </a:prstGeom>
        <a:solidFill>
          <a:schemeClr val="bg1"/>
        </a:solid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14</xdr:col>
      <xdr:colOff>38100</xdr:colOff>
      <xdr:row>0</xdr:row>
      <xdr:rowOff>127000</xdr:rowOff>
    </xdr:from>
    <xdr:to>
      <xdr:col>19</xdr:col>
      <xdr:colOff>12700</xdr:colOff>
      <xdr:row>7</xdr:row>
      <xdr:rowOff>101600</xdr:rowOff>
    </xdr:to>
    <xdr:pic>
      <xdr:nvPicPr>
        <xdr:cNvPr id="2" name="Picture 1"/>
        <xdr:cNvPicPr>
          <a:picLocks noChangeAspect="1"/>
        </xdr:cNvPicPr>
      </xdr:nvPicPr>
      <xdr:blipFill>
        <a:blip xmlns:r="http://schemas.openxmlformats.org/officeDocument/2006/relationships" r:embed="rId1"/>
        <a:stretch>
          <a:fillRect/>
        </a:stretch>
      </xdr:blipFill>
      <xdr:spPr>
        <a:xfrm>
          <a:off x="14325600" y="127000"/>
          <a:ext cx="4102100" cy="1397000"/>
        </a:xfrm>
        <a:prstGeom prst="rect">
          <a:avLst/>
        </a:prstGeom>
        <a:solidFill>
          <a:schemeClr val="bg1"/>
        </a:solid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14</xdr:col>
      <xdr:colOff>38100</xdr:colOff>
      <xdr:row>1</xdr:row>
      <xdr:rowOff>12700</xdr:rowOff>
    </xdr:from>
    <xdr:to>
      <xdr:col>19</xdr:col>
      <xdr:colOff>12700</xdr:colOff>
      <xdr:row>7</xdr:row>
      <xdr:rowOff>190500</xdr:rowOff>
    </xdr:to>
    <xdr:pic>
      <xdr:nvPicPr>
        <xdr:cNvPr id="2" name="Picture 1"/>
        <xdr:cNvPicPr>
          <a:picLocks noChangeAspect="1"/>
        </xdr:cNvPicPr>
      </xdr:nvPicPr>
      <xdr:blipFill>
        <a:blip xmlns:r="http://schemas.openxmlformats.org/officeDocument/2006/relationships" r:embed="rId1"/>
        <a:stretch>
          <a:fillRect/>
        </a:stretch>
      </xdr:blipFill>
      <xdr:spPr>
        <a:xfrm>
          <a:off x="15443200" y="215900"/>
          <a:ext cx="4102100" cy="1397000"/>
        </a:xfrm>
        <a:prstGeom prst="rect">
          <a:avLst/>
        </a:prstGeom>
        <a:solidFill>
          <a:schemeClr val="bg1"/>
        </a:solidFill>
      </xdr:spPr>
    </xdr:pic>
    <xdr:clientData/>
  </xdr:twoCellAnchor>
  <xdr:twoCellAnchor editAs="oneCell">
    <xdr:from>
      <xdr:col>14</xdr:col>
      <xdr:colOff>25400</xdr:colOff>
      <xdr:row>11</xdr:row>
      <xdr:rowOff>76200</xdr:rowOff>
    </xdr:from>
    <xdr:to>
      <xdr:col>19</xdr:col>
      <xdr:colOff>0</xdr:colOff>
      <xdr:row>18</xdr:row>
      <xdr:rowOff>50800</xdr:rowOff>
    </xdr:to>
    <xdr:pic>
      <xdr:nvPicPr>
        <xdr:cNvPr id="3" name="Picture 2"/>
        <xdr:cNvPicPr>
          <a:picLocks noChangeAspect="1"/>
        </xdr:cNvPicPr>
      </xdr:nvPicPr>
      <xdr:blipFill>
        <a:blip xmlns:r="http://schemas.openxmlformats.org/officeDocument/2006/relationships" r:embed="rId2"/>
        <a:stretch>
          <a:fillRect/>
        </a:stretch>
      </xdr:blipFill>
      <xdr:spPr>
        <a:xfrm>
          <a:off x="15430500" y="2540000"/>
          <a:ext cx="4102100" cy="1397000"/>
        </a:xfrm>
        <a:prstGeom prst="rect">
          <a:avLst/>
        </a:prstGeom>
        <a:solidFill>
          <a:schemeClr val="bg1"/>
        </a:solidFill>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14</xdr:col>
      <xdr:colOff>139700</xdr:colOff>
      <xdr:row>0</xdr:row>
      <xdr:rowOff>50800</xdr:rowOff>
    </xdr:from>
    <xdr:to>
      <xdr:col>19</xdr:col>
      <xdr:colOff>12700</xdr:colOff>
      <xdr:row>7</xdr:row>
      <xdr:rowOff>25400</xdr:rowOff>
    </xdr:to>
    <xdr:pic>
      <xdr:nvPicPr>
        <xdr:cNvPr id="2" name="Picture 1"/>
        <xdr:cNvPicPr>
          <a:picLocks noChangeAspect="1"/>
        </xdr:cNvPicPr>
      </xdr:nvPicPr>
      <xdr:blipFill>
        <a:blip xmlns:r="http://schemas.openxmlformats.org/officeDocument/2006/relationships" r:embed="rId1"/>
        <a:stretch>
          <a:fillRect/>
        </a:stretch>
      </xdr:blipFill>
      <xdr:spPr>
        <a:xfrm>
          <a:off x="14490700" y="50800"/>
          <a:ext cx="4000500" cy="1397000"/>
        </a:xfrm>
        <a:prstGeom prst="rect">
          <a:avLst/>
        </a:prstGeom>
        <a:solidFill>
          <a:schemeClr val="bg1"/>
        </a:solidFill>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16</xdr:col>
      <xdr:colOff>584200</xdr:colOff>
      <xdr:row>10</xdr:row>
      <xdr:rowOff>114300</xdr:rowOff>
    </xdr:from>
    <xdr:to>
      <xdr:col>21</xdr:col>
      <xdr:colOff>800100</xdr:colOff>
      <xdr:row>18</xdr:row>
      <xdr:rowOff>88900</xdr:rowOff>
    </xdr:to>
    <xdr:pic>
      <xdr:nvPicPr>
        <xdr:cNvPr id="2" name="Picture 1"/>
        <xdr:cNvPicPr>
          <a:picLocks noChangeAspect="1"/>
        </xdr:cNvPicPr>
      </xdr:nvPicPr>
      <xdr:blipFill>
        <a:blip xmlns:r="http://schemas.openxmlformats.org/officeDocument/2006/relationships" r:embed="rId1"/>
        <a:stretch>
          <a:fillRect/>
        </a:stretch>
      </xdr:blipFill>
      <xdr:spPr>
        <a:xfrm>
          <a:off x="18199100" y="2311400"/>
          <a:ext cx="4343400" cy="1600200"/>
        </a:xfrm>
        <a:prstGeom prst="rect">
          <a:avLst/>
        </a:prstGeom>
        <a:solidFill>
          <a:schemeClr val="bg1"/>
        </a:solidFill>
      </xdr:spPr>
    </xdr:pic>
    <xdr:clientData/>
  </xdr:twoCellAnchor>
  <xdr:twoCellAnchor editAs="oneCell">
    <xdr:from>
      <xdr:col>16</xdr:col>
      <xdr:colOff>723900</xdr:colOff>
      <xdr:row>0</xdr:row>
      <xdr:rowOff>177800</xdr:rowOff>
    </xdr:from>
    <xdr:to>
      <xdr:col>22</xdr:col>
      <xdr:colOff>114300</xdr:colOff>
      <xdr:row>8</xdr:row>
      <xdr:rowOff>152400</xdr:rowOff>
    </xdr:to>
    <xdr:pic>
      <xdr:nvPicPr>
        <xdr:cNvPr id="5" name="Picture 4"/>
        <xdr:cNvPicPr>
          <a:picLocks noChangeAspect="1"/>
        </xdr:cNvPicPr>
      </xdr:nvPicPr>
      <xdr:blipFill>
        <a:blip xmlns:r="http://schemas.openxmlformats.org/officeDocument/2006/relationships" r:embed="rId2"/>
        <a:stretch>
          <a:fillRect/>
        </a:stretch>
      </xdr:blipFill>
      <xdr:spPr>
        <a:xfrm>
          <a:off x="18338800" y="177800"/>
          <a:ext cx="4343400" cy="1600200"/>
        </a:xfrm>
        <a:prstGeom prst="rect">
          <a:avLst/>
        </a:prstGeom>
        <a:solidFill>
          <a:schemeClr val="bg1"/>
        </a:solidFill>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17</xdr:col>
      <xdr:colOff>342900</xdr:colOff>
      <xdr:row>1</xdr:row>
      <xdr:rowOff>50800</xdr:rowOff>
    </xdr:from>
    <xdr:to>
      <xdr:col>22</xdr:col>
      <xdr:colOff>279400</xdr:colOff>
      <xdr:row>9</xdr:row>
      <xdr:rowOff>215900</xdr:rowOff>
    </xdr:to>
    <xdr:pic>
      <xdr:nvPicPr>
        <xdr:cNvPr id="2" name="Picture 1"/>
        <xdr:cNvPicPr>
          <a:picLocks noChangeAspect="1"/>
        </xdr:cNvPicPr>
      </xdr:nvPicPr>
      <xdr:blipFill>
        <a:blip xmlns:r="http://schemas.openxmlformats.org/officeDocument/2006/relationships" r:embed="rId1"/>
        <a:stretch>
          <a:fillRect/>
        </a:stretch>
      </xdr:blipFill>
      <xdr:spPr>
        <a:xfrm>
          <a:off x="18300700" y="254000"/>
          <a:ext cx="4064000" cy="1790700"/>
        </a:xfrm>
        <a:prstGeom prst="rect">
          <a:avLst/>
        </a:prstGeom>
        <a:solidFill>
          <a:schemeClr val="bg1"/>
        </a:solidFill>
      </xdr:spPr>
    </xdr:pic>
    <xdr:clientData/>
  </xdr:twoCellAnchor>
  <xdr:twoCellAnchor editAs="oneCell">
    <xdr:from>
      <xdr:col>17</xdr:col>
      <xdr:colOff>558800</xdr:colOff>
      <xdr:row>13</xdr:row>
      <xdr:rowOff>190500</xdr:rowOff>
    </xdr:from>
    <xdr:to>
      <xdr:col>22</xdr:col>
      <xdr:colOff>558800</xdr:colOff>
      <xdr:row>21</xdr:row>
      <xdr:rowOff>50800</xdr:rowOff>
    </xdr:to>
    <xdr:pic>
      <xdr:nvPicPr>
        <xdr:cNvPr id="3" name="Picture 2"/>
        <xdr:cNvPicPr>
          <a:picLocks noChangeAspect="1"/>
        </xdr:cNvPicPr>
      </xdr:nvPicPr>
      <xdr:blipFill>
        <a:blip xmlns:r="http://schemas.openxmlformats.org/officeDocument/2006/relationships" r:embed="rId2"/>
        <a:stretch>
          <a:fillRect/>
        </a:stretch>
      </xdr:blipFill>
      <xdr:spPr>
        <a:xfrm>
          <a:off x="18516600" y="3136900"/>
          <a:ext cx="4127500" cy="1790700"/>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241300</xdr:colOff>
      <xdr:row>8</xdr:row>
      <xdr:rowOff>38100</xdr:rowOff>
    </xdr:from>
    <xdr:to>
      <xdr:col>6</xdr:col>
      <xdr:colOff>76200</xdr:colOff>
      <xdr:row>32</xdr:row>
      <xdr:rowOff>40101</xdr:rowOff>
    </xdr:to>
    <xdr:pic>
      <xdr:nvPicPr>
        <xdr:cNvPr id="2" name="Picture 1" descr="GPR89_tree.pd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1300" y="1917700"/>
          <a:ext cx="5969000" cy="3964401"/>
        </a:xfrm>
        <a:prstGeom prst="rect">
          <a:avLst/>
        </a:prstGeom>
        <a:solidFill>
          <a:srgbClr val="FFFFFF"/>
        </a:solidFill>
      </xdr:spPr>
    </xdr:pic>
    <xdr:clientData/>
  </xdr:twoCellAnchor>
  <xdr:twoCellAnchor editAs="oneCell">
    <xdr:from>
      <xdr:col>5</xdr:col>
      <xdr:colOff>118782</xdr:colOff>
      <xdr:row>7</xdr:row>
      <xdr:rowOff>241300</xdr:rowOff>
    </xdr:from>
    <xdr:to>
      <xdr:col>10</xdr:col>
      <xdr:colOff>977900</xdr:colOff>
      <xdr:row>33</xdr:row>
      <xdr:rowOff>18472</xdr:rowOff>
    </xdr:to>
    <xdr:pic>
      <xdr:nvPicPr>
        <xdr:cNvPr id="3" name="Picture 2" descr="2_GPR89_full_pairwise.pdf"/>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86182" y="1397000"/>
          <a:ext cx="5989918" cy="4628572"/>
        </a:xfrm>
        <a:prstGeom prst="rect">
          <a:avLst/>
        </a:prstGeom>
      </xdr:spPr>
    </xdr:pic>
    <xdr:clientData/>
  </xdr:twoCellAnchor>
  <xdr:twoCellAnchor editAs="oneCell">
    <xdr:from>
      <xdr:col>13</xdr:col>
      <xdr:colOff>419100</xdr:colOff>
      <xdr:row>34</xdr:row>
      <xdr:rowOff>25400</xdr:rowOff>
    </xdr:from>
    <xdr:to>
      <xdr:col>18</xdr:col>
      <xdr:colOff>292100</xdr:colOff>
      <xdr:row>42</xdr:row>
      <xdr:rowOff>0</xdr:rowOff>
    </xdr:to>
    <xdr:pic>
      <xdr:nvPicPr>
        <xdr:cNvPr id="5" name="Picture 4"/>
        <xdr:cNvPicPr>
          <a:picLocks noChangeAspect="1"/>
        </xdr:cNvPicPr>
      </xdr:nvPicPr>
      <xdr:blipFill>
        <a:blip xmlns:r="http://schemas.openxmlformats.org/officeDocument/2006/relationships" r:embed="rId3"/>
        <a:stretch>
          <a:fillRect/>
        </a:stretch>
      </xdr:blipFill>
      <xdr:spPr>
        <a:xfrm>
          <a:off x="13436600" y="6616700"/>
          <a:ext cx="4000500" cy="139700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152400</xdr:colOff>
      <xdr:row>9</xdr:row>
      <xdr:rowOff>101600</xdr:rowOff>
    </xdr:from>
    <xdr:to>
      <xdr:col>4</xdr:col>
      <xdr:colOff>533400</xdr:colOff>
      <xdr:row>17</xdr:row>
      <xdr:rowOff>177800</xdr:rowOff>
    </xdr:to>
    <xdr:pic>
      <xdr:nvPicPr>
        <xdr:cNvPr id="4" name="Picture 3" descr="FCGR1_neighjoin_tree.pd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2057400"/>
          <a:ext cx="5638800" cy="1600200"/>
        </a:xfrm>
        <a:prstGeom prst="rect">
          <a:avLst/>
        </a:prstGeom>
        <a:solidFill>
          <a:srgbClr val="FFFFFF"/>
        </a:solidFill>
      </xdr:spPr>
    </xdr:pic>
    <xdr:clientData/>
  </xdr:twoCellAnchor>
  <xdr:twoCellAnchor editAs="oneCell">
    <xdr:from>
      <xdr:col>5</xdr:col>
      <xdr:colOff>430778</xdr:colOff>
      <xdr:row>8</xdr:row>
      <xdr:rowOff>139700</xdr:rowOff>
    </xdr:from>
    <xdr:to>
      <xdr:col>11</xdr:col>
      <xdr:colOff>749299</xdr:colOff>
      <xdr:row>24</xdr:row>
      <xdr:rowOff>114300</xdr:rowOff>
    </xdr:to>
    <xdr:pic>
      <xdr:nvPicPr>
        <xdr:cNvPr id="5" name="Picture 4" descr="3_FCGR1_full_pairwise.pdf"/>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546" t="15849" b="19118"/>
        <a:stretch/>
      </xdr:blipFill>
      <xdr:spPr>
        <a:xfrm>
          <a:off x="6501378" y="1905000"/>
          <a:ext cx="5741421" cy="3022600"/>
        </a:xfrm>
        <a:prstGeom prst="rect">
          <a:avLst/>
        </a:prstGeom>
      </xdr:spPr>
    </xdr:pic>
    <xdr:clientData/>
  </xdr:twoCellAnchor>
  <xdr:twoCellAnchor editAs="oneCell">
    <xdr:from>
      <xdr:col>16</xdr:col>
      <xdr:colOff>279400</xdr:colOff>
      <xdr:row>27</xdr:row>
      <xdr:rowOff>114300</xdr:rowOff>
    </xdr:from>
    <xdr:to>
      <xdr:col>21</xdr:col>
      <xdr:colOff>203200</xdr:colOff>
      <xdr:row>34</xdr:row>
      <xdr:rowOff>114300</xdr:rowOff>
    </xdr:to>
    <xdr:pic>
      <xdr:nvPicPr>
        <xdr:cNvPr id="2" name="Picture 1"/>
        <xdr:cNvPicPr>
          <a:picLocks noChangeAspect="1"/>
        </xdr:cNvPicPr>
      </xdr:nvPicPr>
      <xdr:blipFill>
        <a:blip xmlns:r="http://schemas.openxmlformats.org/officeDocument/2006/relationships" r:embed="rId3"/>
        <a:stretch>
          <a:fillRect/>
        </a:stretch>
      </xdr:blipFill>
      <xdr:spPr>
        <a:xfrm>
          <a:off x="17310100" y="5829300"/>
          <a:ext cx="4051300" cy="1600200"/>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673100</xdr:colOff>
      <xdr:row>11</xdr:row>
      <xdr:rowOff>12699</xdr:rowOff>
    </xdr:from>
    <xdr:to>
      <xdr:col>6</xdr:col>
      <xdr:colOff>584200</xdr:colOff>
      <xdr:row>22</xdr:row>
      <xdr:rowOff>162478</xdr:rowOff>
    </xdr:to>
    <xdr:pic>
      <xdr:nvPicPr>
        <xdr:cNvPr id="3" name="Picture 2"/>
        <xdr:cNvPicPr>
          <a:picLocks noChangeAspect="1"/>
        </xdr:cNvPicPr>
      </xdr:nvPicPr>
      <xdr:blipFill>
        <a:blip xmlns:r="http://schemas.openxmlformats.org/officeDocument/2006/relationships" r:embed="rId1"/>
        <a:stretch>
          <a:fillRect/>
        </a:stretch>
      </xdr:blipFill>
      <xdr:spPr>
        <a:xfrm>
          <a:off x="673100" y="2895599"/>
          <a:ext cx="7302500" cy="2550079"/>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279400</xdr:colOff>
      <xdr:row>1</xdr:row>
      <xdr:rowOff>152400</xdr:rowOff>
    </xdr:from>
    <xdr:to>
      <xdr:col>19</xdr:col>
      <xdr:colOff>355600</xdr:colOff>
      <xdr:row>8</xdr:row>
      <xdr:rowOff>101600</xdr:rowOff>
    </xdr:to>
    <xdr:pic>
      <xdr:nvPicPr>
        <xdr:cNvPr id="2" name="Picture 1"/>
        <xdr:cNvPicPr>
          <a:picLocks noChangeAspect="1"/>
        </xdr:cNvPicPr>
      </xdr:nvPicPr>
      <xdr:blipFill>
        <a:blip xmlns:r="http://schemas.openxmlformats.org/officeDocument/2006/relationships" r:embed="rId1"/>
        <a:stretch>
          <a:fillRect/>
        </a:stretch>
      </xdr:blipFill>
      <xdr:spPr>
        <a:xfrm>
          <a:off x="13792200" y="355600"/>
          <a:ext cx="4203700" cy="1397000"/>
        </a:xfrm>
        <a:prstGeom prst="rect">
          <a:avLst/>
        </a:prstGeom>
        <a:solidFill>
          <a:schemeClr val="bg1"/>
        </a:solidFill>
      </xdr:spPr>
    </xdr:pic>
    <xdr:clientData/>
  </xdr:twoCellAnchor>
  <xdr:twoCellAnchor editAs="oneCell">
    <xdr:from>
      <xdr:col>14</xdr:col>
      <xdr:colOff>406400</xdr:colOff>
      <xdr:row>14</xdr:row>
      <xdr:rowOff>101600</xdr:rowOff>
    </xdr:from>
    <xdr:to>
      <xdr:col>19</xdr:col>
      <xdr:colOff>330200</xdr:colOff>
      <xdr:row>20</xdr:row>
      <xdr:rowOff>266700</xdr:rowOff>
    </xdr:to>
    <xdr:pic>
      <xdr:nvPicPr>
        <xdr:cNvPr id="3" name="Picture 2"/>
        <xdr:cNvPicPr>
          <a:picLocks noChangeAspect="1"/>
        </xdr:cNvPicPr>
      </xdr:nvPicPr>
      <xdr:blipFill>
        <a:blip xmlns:r="http://schemas.openxmlformats.org/officeDocument/2006/relationships" r:embed="rId2"/>
        <a:stretch>
          <a:fillRect/>
        </a:stretch>
      </xdr:blipFill>
      <xdr:spPr>
        <a:xfrm>
          <a:off x="13919200" y="3568700"/>
          <a:ext cx="4051300" cy="1397000"/>
        </a:xfrm>
        <a:prstGeom prst="rect">
          <a:avLst/>
        </a:prstGeom>
        <a:solidFill>
          <a:schemeClr val="bg1"/>
        </a:solidFill>
      </xdr:spPr>
    </xdr:pic>
    <xdr:clientData/>
  </xdr:twoCellAnchor>
  <xdr:twoCellAnchor editAs="oneCell">
    <xdr:from>
      <xdr:col>14</xdr:col>
      <xdr:colOff>546100</xdr:colOff>
      <xdr:row>23</xdr:row>
      <xdr:rowOff>139700</xdr:rowOff>
    </xdr:from>
    <xdr:to>
      <xdr:col>19</xdr:col>
      <xdr:colOff>457200</xdr:colOff>
      <xdr:row>30</xdr:row>
      <xdr:rowOff>88900</xdr:rowOff>
    </xdr:to>
    <xdr:pic>
      <xdr:nvPicPr>
        <xdr:cNvPr id="4" name="Picture 3"/>
        <xdr:cNvPicPr>
          <a:picLocks noChangeAspect="1"/>
        </xdr:cNvPicPr>
      </xdr:nvPicPr>
      <xdr:blipFill>
        <a:blip xmlns:r="http://schemas.openxmlformats.org/officeDocument/2006/relationships" r:embed="rId3"/>
        <a:stretch>
          <a:fillRect/>
        </a:stretch>
      </xdr:blipFill>
      <xdr:spPr>
        <a:xfrm>
          <a:off x="14058900" y="5956300"/>
          <a:ext cx="4038600" cy="1397000"/>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88899</xdr:colOff>
      <xdr:row>11</xdr:row>
      <xdr:rowOff>50800</xdr:rowOff>
    </xdr:from>
    <xdr:to>
      <xdr:col>4</xdr:col>
      <xdr:colOff>586854</xdr:colOff>
      <xdr:row>21</xdr:row>
      <xdr:rowOff>38100</xdr:rowOff>
    </xdr:to>
    <xdr:pic>
      <xdr:nvPicPr>
        <xdr:cNvPr id="3" name="Picture 2"/>
        <xdr:cNvPicPr>
          <a:picLocks noChangeAspect="1"/>
        </xdr:cNvPicPr>
      </xdr:nvPicPr>
      <xdr:blipFill>
        <a:blip xmlns:r="http://schemas.openxmlformats.org/officeDocument/2006/relationships" r:embed="rId1"/>
        <a:stretch>
          <a:fillRect/>
        </a:stretch>
      </xdr:blipFill>
      <xdr:spPr>
        <a:xfrm>
          <a:off x="88899" y="3340100"/>
          <a:ext cx="5819255" cy="2019300"/>
        </a:xfrm>
        <a:prstGeom prst="rect">
          <a:avLst/>
        </a:prstGeom>
        <a:solidFill>
          <a:schemeClr val="bg1"/>
        </a:solidFill>
      </xdr:spPr>
    </xdr:pic>
    <xdr:clientData/>
  </xdr:twoCellAnchor>
  <xdr:twoCellAnchor editAs="oneCell">
    <xdr:from>
      <xdr:col>0</xdr:col>
      <xdr:colOff>88899</xdr:colOff>
      <xdr:row>33</xdr:row>
      <xdr:rowOff>50800</xdr:rowOff>
    </xdr:from>
    <xdr:to>
      <xdr:col>4</xdr:col>
      <xdr:colOff>586854</xdr:colOff>
      <xdr:row>43</xdr:row>
      <xdr:rowOff>38100</xdr:rowOff>
    </xdr:to>
    <xdr:pic>
      <xdr:nvPicPr>
        <xdr:cNvPr id="4" name="Picture 3"/>
        <xdr:cNvPicPr>
          <a:picLocks noChangeAspect="1"/>
        </xdr:cNvPicPr>
      </xdr:nvPicPr>
      <xdr:blipFill>
        <a:blip xmlns:r="http://schemas.openxmlformats.org/officeDocument/2006/relationships" r:embed="rId1"/>
        <a:stretch>
          <a:fillRect/>
        </a:stretch>
      </xdr:blipFill>
      <xdr:spPr>
        <a:xfrm>
          <a:off x="88899" y="3340100"/>
          <a:ext cx="5819255" cy="2019300"/>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191726</xdr:colOff>
      <xdr:row>0</xdr:row>
      <xdr:rowOff>0</xdr:rowOff>
    </xdr:from>
    <xdr:to>
      <xdr:col>19</xdr:col>
      <xdr:colOff>49224</xdr:colOff>
      <xdr:row>14</xdr:row>
      <xdr:rowOff>38100</xdr:rowOff>
    </xdr:to>
    <xdr:pic>
      <xdr:nvPicPr>
        <xdr:cNvPr id="3" name="Picture 2" descr="7_CFC1_full_pairwise.pd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8626" y="0"/>
          <a:ext cx="3984998" cy="3175000"/>
        </a:xfrm>
        <a:prstGeom prst="rect">
          <a:avLst/>
        </a:prstGeom>
      </xdr:spPr>
    </xdr:pic>
    <xdr:clientData/>
  </xdr:twoCellAnchor>
  <xdr:twoCellAnchor editAs="oneCell">
    <xdr:from>
      <xdr:col>13</xdr:col>
      <xdr:colOff>812800</xdr:colOff>
      <xdr:row>16</xdr:row>
      <xdr:rowOff>12700</xdr:rowOff>
    </xdr:from>
    <xdr:to>
      <xdr:col>18</xdr:col>
      <xdr:colOff>787400</xdr:colOff>
      <xdr:row>20</xdr:row>
      <xdr:rowOff>596900</xdr:rowOff>
    </xdr:to>
    <xdr:pic>
      <xdr:nvPicPr>
        <xdr:cNvPr id="2" name="Picture 1"/>
        <xdr:cNvPicPr>
          <a:picLocks noChangeAspect="1"/>
        </xdr:cNvPicPr>
      </xdr:nvPicPr>
      <xdr:blipFill>
        <a:blip xmlns:r="http://schemas.openxmlformats.org/officeDocument/2006/relationships" r:embed="rId2"/>
        <a:stretch>
          <a:fillRect/>
        </a:stretch>
      </xdr:blipFill>
      <xdr:spPr>
        <a:xfrm>
          <a:off x="13284200" y="3581400"/>
          <a:ext cx="4102100" cy="1397000"/>
        </a:xfrm>
        <a:prstGeom prst="rect">
          <a:avLst/>
        </a:prstGeom>
        <a:solidFill>
          <a:schemeClr val="bg1"/>
        </a:solidFill>
      </xdr:spPr>
    </xdr:pic>
    <xdr:clientData/>
  </xdr:twoCellAnchor>
  <xdr:twoCellAnchor editAs="oneCell">
    <xdr:from>
      <xdr:col>13</xdr:col>
      <xdr:colOff>762000</xdr:colOff>
      <xdr:row>24</xdr:row>
      <xdr:rowOff>190500</xdr:rowOff>
    </xdr:from>
    <xdr:to>
      <xdr:col>18</xdr:col>
      <xdr:colOff>736600</xdr:colOff>
      <xdr:row>30</xdr:row>
      <xdr:rowOff>342900</xdr:rowOff>
    </xdr:to>
    <xdr:pic>
      <xdr:nvPicPr>
        <xdr:cNvPr id="5" name="Picture 4"/>
        <xdr:cNvPicPr>
          <a:picLocks noChangeAspect="1"/>
        </xdr:cNvPicPr>
      </xdr:nvPicPr>
      <xdr:blipFill>
        <a:blip xmlns:r="http://schemas.openxmlformats.org/officeDocument/2006/relationships" r:embed="rId3"/>
        <a:stretch>
          <a:fillRect/>
        </a:stretch>
      </xdr:blipFill>
      <xdr:spPr>
        <a:xfrm>
          <a:off x="13233400" y="5816600"/>
          <a:ext cx="4102100" cy="139700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406400</xdr:colOff>
      <xdr:row>11</xdr:row>
      <xdr:rowOff>127000</xdr:rowOff>
    </xdr:from>
    <xdr:to>
      <xdr:col>4</xdr:col>
      <xdr:colOff>279400</xdr:colOff>
      <xdr:row>20</xdr:row>
      <xdr:rowOff>127000</xdr:rowOff>
    </xdr:to>
    <xdr:pic>
      <xdr:nvPicPr>
        <xdr:cNvPr id="2" name="Picture 1"/>
        <xdr:cNvPicPr>
          <a:picLocks noChangeAspect="1"/>
        </xdr:cNvPicPr>
      </xdr:nvPicPr>
      <xdr:blipFill>
        <a:blip xmlns:r="http://schemas.openxmlformats.org/officeDocument/2006/relationships" r:embed="rId1"/>
        <a:stretch>
          <a:fillRect/>
        </a:stretch>
      </xdr:blipFill>
      <xdr:spPr>
        <a:xfrm>
          <a:off x="1663700" y="2489200"/>
          <a:ext cx="4013200" cy="1600200"/>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11</xdr:row>
      <xdr:rowOff>25399</xdr:rowOff>
    </xdr:from>
    <xdr:to>
      <xdr:col>4</xdr:col>
      <xdr:colOff>431801</xdr:colOff>
      <xdr:row>25</xdr:row>
      <xdr:rowOff>113414</xdr:rowOff>
    </xdr:to>
    <xdr:pic>
      <xdr:nvPicPr>
        <xdr:cNvPr id="2" name="Picture 1" descr="9_7q11A_refined_tree.pd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120899"/>
          <a:ext cx="5384801" cy="2755015"/>
        </a:xfrm>
        <a:prstGeom prst="rect">
          <a:avLst/>
        </a:prstGeom>
        <a:solidFill>
          <a:srgbClr val="FFFFFF"/>
        </a:solidFill>
      </xdr:spPr>
    </xdr:pic>
    <xdr:clientData/>
  </xdr:twoCellAnchor>
  <xdr:twoCellAnchor editAs="oneCell">
    <xdr:from>
      <xdr:col>0</xdr:col>
      <xdr:colOff>88900</xdr:colOff>
      <xdr:row>34</xdr:row>
      <xdr:rowOff>101600</xdr:rowOff>
    </xdr:from>
    <xdr:to>
      <xdr:col>4</xdr:col>
      <xdr:colOff>369570</xdr:colOff>
      <xdr:row>55</xdr:row>
      <xdr:rowOff>127000</xdr:rowOff>
    </xdr:to>
    <xdr:pic>
      <xdr:nvPicPr>
        <xdr:cNvPr id="3" name="Picture 2" descr="9_7q11B_full_tree.pdf"/>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8900" y="6794500"/>
          <a:ext cx="5233670" cy="4025900"/>
        </a:xfrm>
        <a:prstGeom prst="rect">
          <a:avLst/>
        </a:prstGeom>
        <a:solidFill>
          <a:srgbClr val="FFFFFF"/>
        </a:solidFill>
      </xdr:spPr>
    </xdr:pic>
    <xdr:clientData/>
  </xdr:twoCellAnchor>
  <xdr:twoCellAnchor editAs="oneCell">
    <xdr:from>
      <xdr:col>8</xdr:col>
      <xdr:colOff>533400</xdr:colOff>
      <xdr:row>28</xdr:row>
      <xdr:rowOff>25400</xdr:rowOff>
    </xdr:from>
    <xdr:to>
      <xdr:col>15</xdr:col>
      <xdr:colOff>571500</xdr:colOff>
      <xdr:row>52</xdr:row>
      <xdr:rowOff>13885</xdr:rowOff>
    </xdr:to>
    <xdr:pic>
      <xdr:nvPicPr>
        <xdr:cNvPr id="4" name="Picture 3" descr="9_7q11B_full_pairwise.pdf"/>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505" t="1313" r="13889" b="19608"/>
        <a:stretch/>
      </xdr:blipFill>
      <xdr:spPr>
        <a:xfrm>
          <a:off x="8788400" y="5575300"/>
          <a:ext cx="6464300" cy="4560485"/>
        </a:xfrm>
        <a:prstGeom prst="rect">
          <a:avLst/>
        </a:prstGeom>
        <a:solidFill>
          <a:srgbClr val="FFFFFF"/>
        </a:solidFill>
      </xdr:spPr>
    </xdr:pic>
    <xdr:clientData/>
  </xdr:twoCellAnchor>
  <xdr:twoCellAnchor editAs="oneCell">
    <xdr:from>
      <xdr:col>17</xdr:col>
      <xdr:colOff>736600</xdr:colOff>
      <xdr:row>57</xdr:row>
      <xdr:rowOff>101600</xdr:rowOff>
    </xdr:from>
    <xdr:to>
      <xdr:col>22</xdr:col>
      <xdr:colOff>609600</xdr:colOff>
      <xdr:row>66</xdr:row>
      <xdr:rowOff>63500</xdr:rowOff>
    </xdr:to>
    <xdr:pic>
      <xdr:nvPicPr>
        <xdr:cNvPr id="6" name="Picture 5"/>
        <xdr:cNvPicPr>
          <a:picLocks noChangeAspect="1"/>
        </xdr:cNvPicPr>
      </xdr:nvPicPr>
      <xdr:blipFill>
        <a:blip xmlns:r="http://schemas.openxmlformats.org/officeDocument/2006/relationships" r:embed="rId4"/>
        <a:stretch>
          <a:fillRect/>
        </a:stretch>
      </xdr:blipFill>
      <xdr:spPr>
        <a:xfrm>
          <a:off x="17068800" y="11887200"/>
          <a:ext cx="4000500" cy="1790700"/>
        </a:xfrm>
        <a:prstGeom prst="rect">
          <a:avLst/>
        </a:prstGeom>
        <a:solidFill>
          <a:schemeClr val="bg1"/>
        </a:solidFill>
      </xdr:spPr>
    </xdr:pic>
    <xdr:clientData/>
  </xdr:twoCellAnchor>
  <xdr:twoCellAnchor editAs="oneCell">
    <xdr:from>
      <xdr:col>17</xdr:col>
      <xdr:colOff>698500</xdr:colOff>
      <xdr:row>73</xdr:row>
      <xdr:rowOff>25400</xdr:rowOff>
    </xdr:from>
    <xdr:to>
      <xdr:col>22</xdr:col>
      <xdr:colOff>571500</xdr:colOff>
      <xdr:row>80</xdr:row>
      <xdr:rowOff>101600</xdr:rowOff>
    </xdr:to>
    <xdr:pic>
      <xdr:nvPicPr>
        <xdr:cNvPr id="7" name="Picture 6"/>
        <xdr:cNvPicPr>
          <a:picLocks noChangeAspect="1"/>
        </xdr:cNvPicPr>
      </xdr:nvPicPr>
      <xdr:blipFill>
        <a:blip xmlns:r="http://schemas.openxmlformats.org/officeDocument/2006/relationships" r:embed="rId5"/>
        <a:stretch>
          <a:fillRect/>
        </a:stretch>
      </xdr:blipFill>
      <xdr:spPr>
        <a:xfrm>
          <a:off x="17030700" y="15290800"/>
          <a:ext cx="4000500" cy="1790700"/>
        </a:xfrm>
        <a:prstGeom prst="rect">
          <a:avLst/>
        </a:prstGeom>
        <a:solidFill>
          <a:schemeClr val="bg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R78"/>
  <sheetViews>
    <sheetView topLeftCell="A10" workbookViewId="0">
      <selection activeCell="I50" sqref="I50"/>
    </sheetView>
  </sheetViews>
  <sheetFormatPr baseColWidth="10" defaultRowHeight="16" x14ac:dyDescent="0.2"/>
  <cols>
    <col min="1" max="1" width="21.83203125" bestFit="1" customWidth="1"/>
    <col min="2" max="2" width="27.83203125" bestFit="1" customWidth="1"/>
    <col min="3" max="3" width="14.83203125" bestFit="1" customWidth="1"/>
    <col min="8" max="8" width="12.83203125" customWidth="1"/>
    <col min="9" max="9" width="21.33203125" bestFit="1" customWidth="1"/>
  </cols>
  <sheetData>
    <row r="1" spans="1:12" x14ac:dyDescent="0.2">
      <c r="B1" t="s">
        <v>49</v>
      </c>
      <c r="C1" t="s">
        <v>60</v>
      </c>
      <c r="D1" t="s">
        <v>48</v>
      </c>
      <c r="E1" t="s">
        <v>50</v>
      </c>
      <c r="F1" t="s">
        <v>81</v>
      </c>
      <c r="G1" t="s">
        <v>61</v>
      </c>
    </row>
    <row r="2" spans="1:12" x14ac:dyDescent="0.2">
      <c r="A2" s="58" t="s">
        <v>87</v>
      </c>
      <c r="B2" s="58" t="s">
        <v>12</v>
      </c>
      <c r="C2" s="59">
        <v>1.914449139118695E-4</v>
      </c>
      <c r="D2" s="59">
        <v>2.0240941996345642E-4</v>
      </c>
      <c r="E2" s="59">
        <v>2.7555686810609232E-4</v>
      </c>
      <c r="F2" s="59">
        <v>4.570031582770721E-4</v>
      </c>
      <c r="G2" s="59">
        <v>1.3678566614298135E-4</v>
      </c>
    </row>
    <row r="3" spans="1:12" x14ac:dyDescent="0.2">
      <c r="A3" s="58" t="s">
        <v>88</v>
      </c>
      <c r="B3" s="58">
        <v>4.7532105492863949E-3</v>
      </c>
      <c r="C3" s="58" t="s">
        <v>12</v>
      </c>
      <c r="D3" s="59">
        <v>2.1465657875199384E-4</v>
      </c>
      <c r="E3" s="59">
        <v>2.8441607808841839E-4</v>
      </c>
      <c r="F3" s="59">
        <v>4.6229576016964359E-4</v>
      </c>
      <c r="G3" s="59">
        <v>1.948515258439739E-4</v>
      </c>
    </row>
    <row r="4" spans="1:12" x14ac:dyDescent="0.2">
      <c r="A4" s="58" t="s">
        <v>89</v>
      </c>
      <c r="B4" s="58">
        <v>5.3092823206751594E-3</v>
      </c>
      <c r="C4" s="58">
        <v>5.9662672821498607E-3</v>
      </c>
      <c r="D4" s="58" t="s">
        <v>12</v>
      </c>
      <c r="E4" s="59">
        <v>2.6817356455378449E-4</v>
      </c>
      <c r="F4" s="59">
        <v>4.5177626619460469E-4</v>
      </c>
      <c r="G4" s="59">
        <v>2.0519773071836197E-4</v>
      </c>
    </row>
    <row r="5" spans="1:12" x14ac:dyDescent="0.2">
      <c r="A5" s="58" t="s">
        <v>33</v>
      </c>
      <c r="B5" s="58">
        <v>9.7825333150341146E-3</v>
      </c>
      <c r="C5" s="58">
        <v>1.0412980239286919E-2</v>
      </c>
      <c r="D5" s="58">
        <v>9.2698675992854661E-3</v>
      </c>
      <c r="E5" s="58" t="s">
        <v>12</v>
      </c>
      <c r="F5" s="59">
        <v>4.512932116680214E-4</v>
      </c>
      <c r="G5" s="59">
        <v>2.7609131954212546E-4</v>
      </c>
    </row>
    <row r="6" spans="1:12" x14ac:dyDescent="0.2">
      <c r="A6" s="58" t="s">
        <v>69</v>
      </c>
      <c r="B6" s="58">
        <v>2.6320843494419821E-2</v>
      </c>
      <c r="C6" s="58">
        <v>2.6911917030275255E-2</v>
      </c>
      <c r="D6" s="58">
        <v>2.5739462160859251E-2</v>
      </c>
      <c r="E6" s="58">
        <v>2.5678385711984331E-2</v>
      </c>
      <c r="F6" s="58" t="s">
        <v>12</v>
      </c>
      <c r="G6" s="59">
        <v>4.5704359952234423E-4</v>
      </c>
    </row>
    <row r="7" spans="1:12" x14ac:dyDescent="0.2">
      <c r="A7" s="58" t="s">
        <v>90</v>
      </c>
      <c r="B7" s="58">
        <v>2.4338184627616492E-3</v>
      </c>
      <c r="C7" s="58">
        <v>4.9229902365139867E-3</v>
      </c>
      <c r="D7" s="58">
        <v>5.4559505226356303E-3</v>
      </c>
      <c r="E7" s="58">
        <v>9.8210787640493208E-3</v>
      </c>
      <c r="F7" s="58">
        <v>2.6327934298970509E-2</v>
      </c>
      <c r="G7" s="58" t="s">
        <v>12</v>
      </c>
    </row>
    <row r="8" spans="1:12" x14ac:dyDescent="0.2">
      <c r="B8" s="58"/>
    </row>
    <row r="9" spans="1:12" ht="55" customHeight="1" x14ac:dyDescent="0.2">
      <c r="A9" s="147" t="s">
        <v>128</v>
      </c>
      <c r="B9" s="147"/>
      <c r="C9" s="147"/>
      <c r="D9" s="147"/>
      <c r="E9" s="147"/>
      <c r="F9" s="147"/>
      <c r="G9" s="147"/>
      <c r="H9" s="147"/>
      <c r="I9" s="147"/>
      <c r="J9" s="147"/>
      <c r="K9" s="147"/>
      <c r="L9" s="147"/>
    </row>
    <row r="11" spans="1:12" x14ac:dyDescent="0.2">
      <c r="A11" t="s">
        <v>126</v>
      </c>
      <c r="B11" s="1" t="s">
        <v>127</v>
      </c>
    </row>
    <row r="12" spans="1:12" x14ac:dyDescent="0.2">
      <c r="A12" t="s">
        <v>99</v>
      </c>
      <c r="B12" s="1">
        <v>0.64705000000000001</v>
      </c>
    </row>
    <row r="13" spans="1:12" x14ac:dyDescent="0.2">
      <c r="A13" t="s">
        <v>93</v>
      </c>
      <c r="B13" s="1">
        <v>6.4999999999999997E-3</v>
      </c>
    </row>
    <row r="14" spans="1:12" x14ac:dyDescent="0.2">
      <c r="A14" t="s">
        <v>97</v>
      </c>
      <c r="B14" s="26">
        <v>0</v>
      </c>
    </row>
    <row r="15" spans="1:12" x14ac:dyDescent="0.2">
      <c r="A15" t="s">
        <v>95</v>
      </c>
      <c r="B15" s="1">
        <v>2.376E-2</v>
      </c>
    </row>
    <row r="17" spans="1:6" x14ac:dyDescent="0.2">
      <c r="B17" s="34"/>
      <c r="C17" s="34" t="s">
        <v>91</v>
      </c>
      <c r="D17" s="34" t="s">
        <v>92</v>
      </c>
      <c r="E17" s="34" t="s">
        <v>123</v>
      </c>
      <c r="F17" s="34" t="s">
        <v>124</v>
      </c>
    </row>
    <row r="18" spans="1:6" x14ac:dyDescent="0.2">
      <c r="A18" t="s">
        <v>129</v>
      </c>
      <c r="B18" s="34" t="s">
        <v>94</v>
      </c>
      <c r="C18" s="34">
        <v>1.1720000000000001E-3</v>
      </c>
      <c r="D18" s="34">
        <v>9.7999999999999997E-5</v>
      </c>
      <c r="E18" s="34">
        <f>0.75*C18</f>
        <v>8.7900000000000001E-4</v>
      </c>
      <c r="F18">
        <v>0.75</v>
      </c>
    </row>
    <row r="19" spans="1:6" x14ac:dyDescent="0.2">
      <c r="A19" t="s">
        <v>130</v>
      </c>
      <c r="B19" s="34" t="s">
        <v>96</v>
      </c>
      <c r="C19" s="34">
        <v>1.2620000000000001E-3</v>
      </c>
      <c r="D19" s="34">
        <v>5.7000000000000003E-5</v>
      </c>
      <c r="E19" s="34">
        <f t="shared" ref="E19:E20" si="0">0.75*C19</f>
        <v>9.4650000000000008E-4</v>
      </c>
      <c r="F19">
        <v>0.75</v>
      </c>
    </row>
    <row r="20" spans="1:6" x14ac:dyDescent="0.2">
      <c r="A20" t="s">
        <v>131</v>
      </c>
      <c r="B20" s="34" t="s">
        <v>98</v>
      </c>
      <c r="C20" s="34">
        <v>2.7160000000000001E-3</v>
      </c>
      <c r="D20" s="34">
        <v>1.11E-4</v>
      </c>
      <c r="E20" s="34">
        <f t="shared" si="0"/>
        <v>2.0370000000000002E-3</v>
      </c>
      <c r="F20">
        <v>0.75</v>
      </c>
    </row>
    <row r="21" spans="1:6" x14ac:dyDescent="0.2">
      <c r="A21" t="s">
        <v>132</v>
      </c>
      <c r="B21" s="34" t="s">
        <v>100</v>
      </c>
      <c r="C21" s="34">
        <v>2.4090000000000001E-3</v>
      </c>
      <c r="D21" s="34">
        <v>8.3999999999999995E-5</v>
      </c>
      <c r="E21" s="34">
        <f>C21</f>
        <v>2.4090000000000001E-3</v>
      </c>
      <c r="F21">
        <v>1</v>
      </c>
    </row>
    <row r="22" spans="1:6" x14ac:dyDescent="0.2">
      <c r="A22" t="s">
        <v>43</v>
      </c>
      <c r="B22" s="34" t="s">
        <v>101</v>
      </c>
      <c r="C22" s="34">
        <v>4.5869999999999999E-3</v>
      </c>
      <c r="D22" s="34">
        <v>1.37E-4</v>
      </c>
      <c r="E22" s="34">
        <f t="shared" ref="E22:E23" si="1">C22</f>
        <v>4.5869999999999999E-3</v>
      </c>
      <c r="F22">
        <v>1</v>
      </c>
    </row>
    <row r="23" spans="1:6" x14ac:dyDescent="0.2">
      <c r="A23" t="s">
        <v>102</v>
      </c>
      <c r="B23" s="34" t="s">
        <v>103</v>
      </c>
      <c r="C23" s="34">
        <v>1.3455E-2</v>
      </c>
      <c r="D23" s="34">
        <v>3.9300000000000001E-4</v>
      </c>
      <c r="E23" s="34">
        <f t="shared" si="1"/>
        <v>1.3455E-2</v>
      </c>
      <c r="F23">
        <v>1</v>
      </c>
    </row>
    <row r="24" spans="1:6" x14ac:dyDescent="0.2">
      <c r="B24" s="34"/>
      <c r="C24" s="34"/>
      <c r="D24" s="34"/>
      <c r="E24" s="34"/>
    </row>
    <row r="25" spans="1:6" x14ac:dyDescent="0.2">
      <c r="A25" t="s">
        <v>104</v>
      </c>
      <c r="B25" s="34" t="s">
        <v>105</v>
      </c>
      <c r="C25" s="34">
        <v>9.0499999999999999E-4</v>
      </c>
      <c r="D25" s="34">
        <v>1.2899999999999999E-4</v>
      </c>
      <c r="E25" s="34">
        <f>0.75*C25</f>
        <v>6.7874999999999999E-4</v>
      </c>
      <c r="F25">
        <v>0.75</v>
      </c>
    </row>
    <row r="26" spans="1:6" x14ac:dyDescent="0.2">
      <c r="A26" t="s">
        <v>106</v>
      </c>
      <c r="B26" s="34" t="s">
        <v>107</v>
      </c>
      <c r="C26" s="34">
        <v>8.4800000000000001E-4</v>
      </c>
      <c r="D26" s="34">
        <v>8.5000000000000006E-5</v>
      </c>
      <c r="E26" s="34">
        <f>0.75*C26</f>
        <v>6.3600000000000006E-4</v>
      </c>
      <c r="F26">
        <v>0.75</v>
      </c>
    </row>
    <row r="27" spans="1:6" x14ac:dyDescent="0.2">
      <c r="A27" t="s">
        <v>108</v>
      </c>
      <c r="B27" s="34" t="s">
        <v>109</v>
      </c>
      <c r="C27" s="34">
        <v>2.2560000000000002E-3</v>
      </c>
      <c r="D27" s="34">
        <v>8.8999999999999995E-5</v>
      </c>
      <c r="E27" s="34">
        <f>C27</f>
        <v>2.2560000000000002E-3</v>
      </c>
      <c r="F27">
        <v>1</v>
      </c>
    </row>
    <row r="28" spans="1:6" x14ac:dyDescent="0.2">
      <c r="B28" s="34" t="s">
        <v>110</v>
      </c>
      <c r="C28" s="34">
        <v>7.6360000000000004E-3</v>
      </c>
      <c r="D28" s="34">
        <v>3.9300000000000001E-4</v>
      </c>
      <c r="E28" s="34">
        <f>C28</f>
        <v>7.6360000000000004E-3</v>
      </c>
      <c r="F28">
        <v>1</v>
      </c>
    </row>
    <row r="29" spans="1:6" x14ac:dyDescent="0.2">
      <c r="B29" s="34"/>
      <c r="C29" s="34"/>
      <c r="D29" s="34"/>
      <c r="E29" s="34"/>
    </row>
    <row r="30" spans="1:6" x14ac:dyDescent="0.2">
      <c r="B30" s="34"/>
      <c r="C30" s="34"/>
      <c r="D30" s="34"/>
      <c r="E30" s="34"/>
    </row>
    <row r="31" spans="1:6" x14ac:dyDescent="0.2">
      <c r="A31" t="s">
        <v>111</v>
      </c>
      <c r="B31" s="34"/>
      <c r="C31" s="34"/>
      <c r="D31" s="34"/>
      <c r="E31" s="34"/>
    </row>
    <row r="32" spans="1:6" x14ac:dyDescent="0.2">
      <c r="A32" t="s">
        <v>112</v>
      </c>
      <c r="B32" s="34">
        <f>(E22+E27+E21)/(2*6)</f>
        <v>7.7099999999999998E-4</v>
      </c>
      <c r="C32" s="34">
        <f>B32*6</f>
        <v>4.6259999999999999E-3</v>
      </c>
      <c r="D32" s="34"/>
      <c r="E32" s="34"/>
    </row>
    <row r="33" spans="1:18" x14ac:dyDescent="0.2">
      <c r="B33" s="34"/>
      <c r="C33" s="34"/>
      <c r="D33" s="34"/>
      <c r="E33" s="34"/>
    </row>
    <row r="34" spans="1:18" ht="19" x14ac:dyDescent="0.25">
      <c r="A34" t="s">
        <v>113</v>
      </c>
      <c r="B34" s="60">
        <f>(E21)/$B$32</f>
        <v>3.1245136186770428</v>
      </c>
      <c r="C34" s="34"/>
      <c r="D34" s="34"/>
      <c r="E34" s="34"/>
    </row>
    <row r="35" spans="1:18" ht="19" x14ac:dyDescent="0.25">
      <c r="A35" t="s">
        <v>114</v>
      </c>
      <c r="B35" s="60">
        <f>(E20+E25+AVERAGE(E18:E19))/($B$32*2)</f>
        <v>2.3531128404669261</v>
      </c>
      <c r="C35" s="34"/>
      <c r="D35" s="34"/>
      <c r="E35" s="34"/>
    </row>
    <row r="36" spans="1:18" ht="19" x14ac:dyDescent="0.25">
      <c r="A36" t="s">
        <v>115</v>
      </c>
      <c r="B36" s="60">
        <f>AVERAGE(E18:E19)/$B$32</f>
        <v>1.183852140077821</v>
      </c>
      <c r="C36" s="34"/>
      <c r="D36" s="34"/>
      <c r="E36" s="34"/>
    </row>
    <row r="44" spans="1:18" x14ac:dyDescent="0.2">
      <c r="A44" s="148" t="s">
        <v>345</v>
      </c>
      <c r="B44" s="148"/>
      <c r="C44" s="148"/>
      <c r="D44" s="148"/>
      <c r="E44" s="148"/>
      <c r="F44" s="148"/>
      <c r="G44" s="148"/>
      <c r="H44" s="148"/>
      <c r="I44" s="148"/>
      <c r="J44" s="148"/>
      <c r="K44" s="148"/>
      <c r="L44" s="148"/>
      <c r="M44" s="148"/>
      <c r="N44" s="148"/>
      <c r="O44" s="148"/>
      <c r="P44" s="148"/>
      <c r="Q44" s="148"/>
      <c r="R44" s="148"/>
    </row>
    <row r="46" spans="1:18" x14ac:dyDescent="0.2">
      <c r="B46" t="s">
        <v>346</v>
      </c>
      <c r="C46" t="s">
        <v>48</v>
      </c>
      <c r="D46" t="s">
        <v>49</v>
      </c>
      <c r="E46" t="s">
        <v>60</v>
      </c>
      <c r="F46" t="s">
        <v>61</v>
      </c>
      <c r="G46" t="s">
        <v>33</v>
      </c>
    </row>
    <row r="47" spans="1:18" x14ac:dyDescent="0.2">
      <c r="A47" s="58" t="s">
        <v>48</v>
      </c>
      <c r="B47" s="26">
        <v>0.61412999999999995</v>
      </c>
      <c r="C47" s="76" t="s">
        <v>12</v>
      </c>
      <c r="D47" s="77">
        <v>2.0443572969016473E-4</v>
      </c>
      <c r="E47" s="77">
        <v>2.1681409992695082E-4</v>
      </c>
      <c r="F47" s="77">
        <v>2.0677977287382004E-4</v>
      </c>
      <c r="G47" s="77">
        <v>2.7156257894385709E-4</v>
      </c>
    </row>
    <row r="48" spans="1:18" x14ac:dyDescent="0.2">
      <c r="A48" s="58" t="s">
        <v>49</v>
      </c>
      <c r="B48" s="26">
        <v>8.3700000000000007E-3</v>
      </c>
      <c r="C48" s="76">
        <v>5.393343984173158E-3</v>
      </c>
      <c r="D48" s="77" t="s">
        <v>12</v>
      </c>
      <c r="E48" s="77">
        <v>1.927088267159301E-4</v>
      </c>
      <c r="F48" s="77">
        <v>1.3756794165440395E-4</v>
      </c>
      <c r="G48" s="77">
        <v>2.7892086228182623E-4</v>
      </c>
    </row>
    <row r="49" spans="1:10" x14ac:dyDescent="0.2">
      <c r="A49" s="58" t="s">
        <v>60</v>
      </c>
      <c r="B49" s="26">
        <v>0</v>
      </c>
      <c r="C49" s="76">
        <v>6.0609508353184601E-3</v>
      </c>
      <c r="D49" s="76">
        <v>4.7961567713030338E-3</v>
      </c>
      <c r="E49" s="77" t="s">
        <v>12</v>
      </c>
      <c r="F49" s="77">
        <v>1.9596392886934744E-4</v>
      </c>
      <c r="G49" s="77">
        <v>2.8786781591705313E-4</v>
      </c>
    </row>
    <row r="50" spans="1:10" x14ac:dyDescent="0.2">
      <c r="A50" s="58" t="s">
        <v>61</v>
      </c>
      <c r="B50" s="26">
        <v>4.1050000000000003E-2</v>
      </c>
      <c r="C50" s="76">
        <v>5.5173334624806624E-3</v>
      </c>
      <c r="D50" s="76">
        <v>2.4516009543549444E-3</v>
      </c>
      <c r="E50" s="76">
        <v>4.9588476626985555E-3</v>
      </c>
      <c r="F50" s="77" t="s">
        <v>12</v>
      </c>
      <c r="G50" s="77">
        <v>2.7955980449200629E-4</v>
      </c>
    </row>
    <row r="51" spans="1:10" x14ac:dyDescent="0.2">
      <c r="A51" s="58" t="s">
        <v>33</v>
      </c>
      <c r="B51" s="26" t="s">
        <v>16</v>
      </c>
      <c r="C51" s="76">
        <v>9.4644698485561087E-3</v>
      </c>
      <c r="D51" s="76">
        <v>9.9793942957176196E-3</v>
      </c>
      <c r="E51" s="76">
        <v>1.0620557237101719E-2</v>
      </c>
      <c r="F51" s="76">
        <v>1.0025848306380871E-2</v>
      </c>
      <c r="G51" s="77" t="s">
        <v>12</v>
      </c>
    </row>
    <row r="52" spans="1:10" x14ac:dyDescent="0.2">
      <c r="A52" s="58" t="s">
        <v>69</v>
      </c>
      <c r="B52" s="26" t="s">
        <v>16</v>
      </c>
      <c r="C52" s="58"/>
      <c r="D52" s="58"/>
      <c r="E52" s="58"/>
      <c r="F52" s="58"/>
      <c r="G52" s="58"/>
    </row>
    <row r="53" spans="1:10" x14ac:dyDescent="0.2">
      <c r="A53" s="58"/>
      <c r="B53" s="26"/>
      <c r="C53" s="58"/>
      <c r="D53" s="58"/>
      <c r="E53" s="58"/>
      <c r="F53" s="58"/>
      <c r="G53" s="58"/>
    </row>
    <row r="54" spans="1:10" ht="72" customHeight="1" x14ac:dyDescent="0.2">
      <c r="A54" s="149" t="s">
        <v>347</v>
      </c>
      <c r="B54" s="149"/>
      <c r="C54" s="149"/>
      <c r="D54" s="149"/>
      <c r="E54" s="149"/>
      <c r="F54" s="149"/>
      <c r="G54" s="149"/>
      <c r="H54" s="149"/>
    </row>
    <row r="55" spans="1:10" x14ac:dyDescent="0.2">
      <c r="B55" s="58"/>
    </row>
    <row r="56" spans="1:10" x14ac:dyDescent="0.2">
      <c r="B56" s="140"/>
      <c r="C56" s="140" t="s">
        <v>91</v>
      </c>
      <c r="D56" s="140" t="s">
        <v>92</v>
      </c>
      <c r="E56" s="140" t="s">
        <v>123</v>
      </c>
      <c r="F56" s="140" t="s">
        <v>124</v>
      </c>
    </row>
    <row r="57" spans="1:10" x14ac:dyDescent="0.2">
      <c r="A57" t="s">
        <v>129</v>
      </c>
      <c r="B57" s="140" t="s">
        <v>348</v>
      </c>
      <c r="C57" s="140">
        <v>1.1869999999999999E-3</v>
      </c>
      <c r="D57" s="140">
        <v>9.8999999999999994E-5</v>
      </c>
      <c r="E57" s="140">
        <f>0.77*C57</f>
        <v>9.1398999999999994E-4</v>
      </c>
      <c r="F57">
        <v>0.77</v>
      </c>
      <c r="H57" t="s">
        <v>357</v>
      </c>
      <c r="I57" t="s">
        <v>358</v>
      </c>
      <c r="J57" s="145">
        <f>C60/(AVERAGE((C59+C65),(C57+C64+C65),(C58+C64+C65)))</f>
        <v>0.76561029181048001</v>
      </c>
    </row>
    <row r="58" spans="1:10" x14ac:dyDescent="0.2">
      <c r="A58" t="s">
        <v>130</v>
      </c>
      <c r="B58" s="140" t="s">
        <v>349</v>
      </c>
      <c r="C58" s="140">
        <v>1.2470000000000001E-3</v>
      </c>
      <c r="D58" s="140">
        <v>8.0000000000000007E-5</v>
      </c>
      <c r="E58" s="140">
        <f t="shared" ref="E58:E59" si="2">0.77*C58</f>
        <v>9.6019000000000009E-4</v>
      </c>
      <c r="F58">
        <v>0.77</v>
      </c>
    </row>
    <row r="59" spans="1:10" x14ac:dyDescent="0.2">
      <c r="A59" t="s">
        <v>131</v>
      </c>
      <c r="B59" s="140" t="s">
        <v>350</v>
      </c>
      <c r="C59" s="140">
        <v>2.751E-3</v>
      </c>
      <c r="D59" s="140">
        <v>9.5000000000000005E-5</v>
      </c>
      <c r="E59" s="140">
        <f t="shared" si="2"/>
        <v>2.1182700000000002E-3</v>
      </c>
      <c r="F59">
        <v>0.77</v>
      </c>
    </row>
    <row r="60" spans="1:10" x14ac:dyDescent="0.2">
      <c r="A60" t="s">
        <v>132</v>
      </c>
      <c r="B60" s="140" t="s">
        <v>351</v>
      </c>
      <c r="C60" s="140">
        <v>2.4399999999999999E-3</v>
      </c>
      <c r="D60" s="140">
        <v>8.1000000000000004E-5</v>
      </c>
      <c r="E60" s="140">
        <f>C60</f>
        <v>2.4399999999999999E-3</v>
      </c>
      <c r="F60">
        <v>1</v>
      </c>
    </row>
    <row r="61" spans="1:10" x14ac:dyDescent="0.2">
      <c r="A61" t="s">
        <v>43</v>
      </c>
      <c r="B61" s="140" t="s">
        <v>352</v>
      </c>
      <c r="C61" s="140">
        <v>4.6379999999999998E-3</v>
      </c>
      <c r="D61" s="140">
        <v>1.12E-4</v>
      </c>
      <c r="E61" s="140">
        <f t="shared" ref="E61:E62" si="3">C61</f>
        <v>4.6379999999999998E-3</v>
      </c>
      <c r="F61">
        <v>1</v>
      </c>
    </row>
    <row r="62" spans="1:10" x14ac:dyDescent="0.2">
      <c r="A62" t="s">
        <v>102</v>
      </c>
      <c r="B62" s="140" t="s">
        <v>353</v>
      </c>
      <c r="C62" s="140">
        <v>1.3466000000000001E-2</v>
      </c>
      <c r="D62" s="140">
        <v>3.2600000000000001E-4</v>
      </c>
      <c r="E62" s="140">
        <f t="shared" si="3"/>
        <v>1.3466000000000001E-2</v>
      </c>
      <c r="F62">
        <v>1</v>
      </c>
    </row>
    <row r="63" spans="1:10" x14ac:dyDescent="0.2">
      <c r="B63" s="140"/>
      <c r="C63" s="140"/>
      <c r="D63" s="140"/>
      <c r="E63" s="140"/>
    </row>
    <row r="64" spans="1:10" x14ac:dyDescent="0.2">
      <c r="A64" t="s">
        <v>104</v>
      </c>
      <c r="B64" s="140" t="s">
        <v>354</v>
      </c>
      <c r="C64" s="140">
        <v>9.01E-4</v>
      </c>
      <c r="D64" s="140">
        <v>1.1E-4</v>
      </c>
      <c r="E64" s="140">
        <f t="shared" ref="E64:E65" si="4">0.77*C64</f>
        <v>6.9377000000000002E-4</v>
      </c>
      <c r="F64">
        <v>0.77</v>
      </c>
    </row>
    <row r="65" spans="1:8" x14ac:dyDescent="0.2">
      <c r="A65" t="s">
        <v>106</v>
      </c>
      <c r="B65" s="140" t="s">
        <v>355</v>
      </c>
      <c r="C65" s="140">
        <v>8.5800000000000004E-4</v>
      </c>
      <c r="D65" s="140">
        <v>5.5000000000000002E-5</v>
      </c>
      <c r="E65" s="140">
        <f t="shared" si="4"/>
        <v>6.6066000000000009E-4</v>
      </c>
      <c r="F65">
        <v>0.77</v>
      </c>
    </row>
    <row r="66" spans="1:8" x14ac:dyDescent="0.2">
      <c r="A66" t="s">
        <v>108</v>
      </c>
      <c r="B66" s="140" t="s">
        <v>356</v>
      </c>
      <c r="C66" s="140">
        <v>2.261E-3</v>
      </c>
      <c r="D66" s="140">
        <v>1.11E-4</v>
      </c>
      <c r="E66" s="140">
        <f>C66</f>
        <v>2.261E-3</v>
      </c>
      <c r="F66">
        <v>1</v>
      </c>
    </row>
    <row r="67" spans="1:8" x14ac:dyDescent="0.2">
      <c r="B67" s="140"/>
      <c r="C67" s="140"/>
      <c r="D67" s="140"/>
      <c r="E67" s="140"/>
    </row>
    <row r="68" spans="1:8" x14ac:dyDescent="0.2">
      <c r="B68" s="140"/>
      <c r="C68" s="140"/>
      <c r="D68" s="140"/>
      <c r="E68" s="140"/>
    </row>
    <row r="69" spans="1:8" x14ac:dyDescent="0.2">
      <c r="B69" s="140"/>
      <c r="C69" s="140"/>
      <c r="D69" s="140"/>
      <c r="E69" s="140"/>
    </row>
    <row r="70" spans="1:8" x14ac:dyDescent="0.2">
      <c r="A70" t="s">
        <v>111</v>
      </c>
      <c r="B70" s="140"/>
      <c r="C70" s="140"/>
      <c r="D70" s="140"/>
      <c r="E70" s="140"/>
    </row>
    <row r="71" spans="1:8" x14ac:dyDescent="0.2">
      <c r="A71" t="s">
        <v>112</v>
      </c>
      <c r="B71" s="140">
        <f>(E61+E66+E60)/(2*6)</f>
        <v>7.7824999999999997E-4</v>
      </c>
      <c r="C71" s="140">
        <f>B71*6</f>
        <v>4.6695E-3</v>
      </c>
      <c r="D71" s="140"/>
      <c r="E71" s="140"/>
    </row>
    <row r="72" spans="1:8" x14ac:dyDescent="0.2">
      <c r="B72" s="140"/>
      <c r="C72" s="140"/>
      <c r="D72" s="140"/>
      <c r="E72" s="140"/>
    </row>
    <row r="73" spans="1:8" x14ac:dyDescent="0.2">
      <c r="B73" s="140"/>
      <c r="C73" s="146" t="s">
        <v>359</v>
      </c>
      <c r="D73" s="140" t="s">
        <v>360</v>
      </c>
      <c r="E73" s="140"/>
    </row>
    <row r="74" spans="1:8" ht="19" x14ac:dyDescent="0.25">
      <c r="A74" t="s">
        <v>113</v>
      </c>
      <c r="B74" s="60">
        <f>(E60)/$B$32</f>
        <v>3.1647211413748377</v>
      </c>
      <c r="C74" s="140">
        <f>B74*B71/E61</f>
        <v>0.53103584050775499</v>
      </c>
      <c r="D74" s="140">
        <f>D60/E61</f>
        <v>1.7464424320827943E-2</v>
      </c>
      <c r="E74" s="140"/>
    </row>
    <row r="75" spans="1:8" ht="19" x14ac:dyDescent="0.25">
      <c r="A75" t="s">
        <v>114</v>
      </c>
      <c r="B75" s="60">
        <f>(E59+E64+AVERAGE(E57:E58))/($B$32*2)</f>
        <v>2.4313424124513618</v>
      </c>
      <c r="C75" s="140">
        <f>B75*B71/E61</f>
        <v>0.40797590178746707</v>
      </c>
      <c r="D75" s="140">
        <f>AVERAGE((D57+D64),(D58+D64),D59)/E61</f>
        <v>3.5503809113123473E-2</v>
      </c>
      <c r="E75" s="140"/>
    </row>
    <row r="76" spans="1:8" ht="19" x14ac:dyDescent="0.25">
      <c r="A76" t="s">
        <v>115</v>
      </c>
      <c r="B76" s="60">
        <f>AVERAGE(E57:E58)/$B$32</f>
        <v>1.2154215304798963</v>
      </c>
      <c r="C76" s="140">
        <f>B76*B71/E61</f>
        <v>0.20394605564811974</v>
      </c>
      <c r="D76" s="140">
        <f>AVERAGE(D57:D58)/E61</f>
        <v>1.9297110823630878E-2</v>
      </c>
      <c r="E76" s="140"/>
    </row>
    <row r="78" spans="1:8" ht="131" customHeight="1" x14ac:dyDescent="0.2">
      <c r="A78" s="150" t="s">
        <v>361</v>
      </c>
      <c r="B78" s="150"/>
      <c r="C78" s="150"/>
      <c r="D78" s="150"/>
      <c r="E78" s="150"/>
      <c r="F78" s="150"/>
      <c r="G78" s="150"/>
      <c r="H78" s="150"/>
    </row>
  </sheetData>
  <mergeCells count="4">
    <mergeCell ref="A9:L9"/>
    <mergeCell ref="A44:R44"/>
    <mergeCell ref="A54:H54"/>
    <mergeCell ref="A78:H78"/>
  </mergeCells>
  <phoneticPr fontId="23" type="noConversion"/>
  <pageMargins left="0.75" right="0.75" top="1" bottom="1" header="0.5" footer="0.5"/>
  <pageSetup scale="50" orientation="landscape" horizontalDpi="4294967292" verticalDpi="429496729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topLeftCell="A33" workbookViewId="0">
      <selection activeCell="G30" sqref="G30"/>
    </sheetView>
  </sheetViews>
  <sheetFormatPr baseColWidth="10" defaultRowHeight="16" x14ac:dyDescent="0.2"/>
  <cols>
    <col min="2" max="2" width="12" customWidth="1"/>
    <col min="3" max="3" width="24.1640625" bestFit="1" customWidth="1"/>
    <col min="10" max="10" width="18" bestFit="1" customWidth="1"/>
    <col min="11" max="11" width="12.83203125" bestFit="1" customWidth="1"/>
    <col min="12" max="12" width="10.5" customWidth="1"/>
  </cols>
  <sheetData>
    <row r="1" spans="1:13" x14ac:dyDescent="0.2">
      <c r="A1" s="153" t="s">
        <v>226</v>
      </c>
      <c r="B1" s="148"/>
      <c r="C1" s="148"/>
      <c r="D1" s="148"/>
      <c r="E1" s="148"/>
      <c r="F1" s="148"/>
      <c r="G1" s="148"/>
      <c r="H1" s="148"/>
      <c r="I1" s="148"/>
      <c r="J1" s="148"/>
      <c r="K1" s="148"/>
      <c r="L1" s="148"/>
      <c r="M1" s="148"/>
    </row>
    <row r="2" spans="1:13" x14ac:dyDescent="0.2">
      <c r="A2" s="57" t="s">
        <v>86</v>
      </c>
      <c r="B2" s="1" t="s">
        <v>37</v>
      </c>
      <c r="C2" s="1" t="s">
        <v>228</v>
      </c>
      <c r="D2" s="1" t="s">
        <v>47</v>
      </c>
      <c r="E2" s="24" t="s">
        <v>48</v>
      </c>
      <c r="F2" s="24" t="s">
        <v>49</v>
      </c>
      <c r="G2" s="24" t="s">
        <v>33</v>
      </c>
      <c r="H2" s="24"/>
      <c r="J2" s="2" t="s">
        <v>8</v>
      </c>
      <c r="K2" s="3" t="s">
        <v>9</v>
      </c>
      <c r="L2" s="4" t="s">
        <v>35</v>
      </c>
    </row>
    <row r="3" spans="1:13" ht="17" x14ac:dyDescent="0.2">
      <c r="A3" s="24" t="s">
        <v>311</v>
      </c>
      <c r="B3" s="30" t="s">
        <v>80</v>
      </c>
      <c r="C3" s="30" t="s">
        <v>229</v>
      </c>
      <c r="D3" s="49">
        <v>0.89124999999999999</v>
      </c>
      <c r="E3" s="76" t="s">
        <v>12</v>
      </c>
      <c r="F3" s="77">
        <v>3.480116555362961E-4</v>
      </c>
      <c r="G3" s="77">
        <v>6.2762474885598701E-4</v>
      </c>
      <c r="H3" s="27"/>
      <c r="J3" s="7" t="s">
        <v>13</v>
      </c>
      <c r="K3" s="8">
        <f>AVERAGE(E5:F5)</f>
        <v>9.2623229686347765E-3</v>
      </c>
      <c r="L3" s="9">
        <f>E4</f>
        <v>2.867671868769101E-3</v>
      </c>
      <c r="M3">
        <f>L3/K3</f>
        <v>0.30960611916470265</v>
      </c>
    </row>
    <row r="4" spans="1:13" ht="17" x14ac:dyDescent="0.2">
      <c r="A4" s="24" t="s">
        <v>312</v>
      </c>
      <c r="B4" s="30" t="s">
        <v>80</v>
      </c>
      <c r="C4" s="30" t="s">
        <v>230</v>
      </c>
      <c r="D4" s="49">
        <v>0.7319</v>
      </c>
      <c r="E4" s="76">
        <v>2.867671868769101E-3</v>
      </c>
      <c r="F4" s="77" t="s">
        <v>12</v>
      </c>
      <c r="G4" s="77">
        <v>6.2903414058919328E-4</v>
      </c>
      <c r="H4" s="27"/>
      <c r="J4" s="7" t="s">
        <v>14</v>
      </c>
      <c r="K4" s="8">
        <v>6</v>
      </c>
      <c r="L4" s="11">
        <f>L3/(2*L5)</f>
        <v>1.8576367149882158</v>
      </c>
    </row>
    <row r="5" spans="1:13" x14ac:dyDescent="0.2">
      <c r="A5" s="24" t="s">
        <v>33</v>
      </c>
      <c r="B5" s="30" t="s">
        <v>231</v>
      </c>
      <c r="C5" s="30" t="s">
        <v>16</v>
      </c>
      <c r="E5" s="76">
        <v>9.2411831072618817E-3</v>
      </c>
      <c r="F5" s="76">
        <v>9.2834628300076712E-3</v>
      </c>
      <c r="G5" s="77" t="s">
        <v>12</v>
      </c>
      <c r="H5" s="27"/>
      <c r="J5" s="7" t="s">
        <v>15</v>
      </c>
      <c r="K5" s="10">
        <f>K3/(2*K4)</f>
        <v>7.7186024738623137E-4</v>
      </c>
      <c r="L5" s="13">
        <f>$K5</f>
        <v>7.7186024738623137E-4</v>
      </c>
    </row>
    <row r="6" spans="1:13" x14ac:dyDescent="0.2">
      <c r="A6" s="24" t="s">
        <v>69</v>
      </c>
      <c r="B6" s="30" t="s">
        <v>70</v>
      </c>
      <c r="C6" s="30" t="s">
        <v>232</v>
      </c>
      <c r="E6" s="24"/>
      <c r="F6" s="24"/>
      <c r="G6" s="24"/>
      <c r="H6" s="24"/>
      <c r="J6" s="14" t="s">
        <v>17</v>
      </c>
      <c r="K6" s="15"/>
      <c r="L6" s="16"/>
    </row>
    <row r="7" spans="1:13" x14ac:dyDescent="0.2">
      <c r="A7" s="24"/>
      <c r="B7" s="24"/>
      <c r="C7" s="27"/>
      <c r="D7" s="27"/>
      <c r="J7" s="7" t="s">
        <v>18</v>
      </c>
      <c r="K7" s="32">
        <f>F3/(2*$K$32)</f>
        <v>0.17730994954985929</v>
      </c>
      <c r="L7" s="18">
        <f>(E4+F3)/(2*$K$5)</f>
        <v>2.0830736750562959</v>
      </c>
      <c r="M7">
        <f>F3/K3</f>
        <v>3.7572826678013302E-2</v>
      </c>
    </row>
    <row r="8" spans="1:13" x14ac:dyDescent="0.2">
      <c r="B8" s="24"/>
      <c r="C8" s="24"/>
      <c r="D8" s="27"/>
      <c r="J8" s="19" t="s">
        <v>19</v>
      </c>
      <c r="K8" s="20"/>
      <c r="L8" s="22">
        <f>(E4-F3)/(2*$K$5)</f>
        <v>1.6321997549201359</v>
      </c>
    </row>
    <row r="9" spans="1:13" x14ac:dyDescent="0.2">
      <c r="A9" s="24"/>
      <c r="B9" s="24"/>
      <c r="C9" s="24"/>
      <c r="D9" s="24"/>
    </row>
    <row r="10" spans="1:13" ht="45" customHeight="1" x14ac:dyDescent="0.2">
      <c r="A10" s="147" t="s">
        <v>236</v>
      </c>
      <c r="B10" s="147"/>
      <c r="C10" s="147"/>
      <c r="D10" s="147"/>
      <c r="E10" s="147"/>
      <c r="F10" s="147"/>
      <c r="G10" s="147"/>
      <c r="H10" s="147"/>
      <c r="I10" s="147"/>
      <c r="J10" s="147"/>
      <c r="K10" s="147"/>
      <c r="L10" s="147"/>
    </row>
    <row r="28" spans="1:13" x14ac:dyDescent="0.2">
      <c r="A28" s="153" t="s">
        <v>227</v>
      </c>
      <c r="B28" s="148"/>
      <c r="C28" s="148"/>
      <c r="D28" s="148"/>
      <c r="E28" s="148"/>
      <c r="F28" s="148"/>
      <c r="G28" s="148"/>
      <c r="H28" s="148"/>
      <c r="I28" s="148"/>
      <c r="J28" s="148"/>
      <c r="K28" s="148"/>
      <c r="L28" s="148"/>
      <c r="M28" s="148"/>
    </row>
    <row r="29" spans="1:13" x14ac:dyDescent="0.2">
      <c r="A29" s="57" t="s">
        <v>85</v>
      </c>
      <c r="B29" s="1" t="s">
        <v>37</v>
      </c>
      <c r="C29" s="1" t="s">
        <v>228</v>
      </c>
      <c r="D29" s="1" t="s">
        <v>47</v>
      </c>
      <c r="E29" s="24" t="s">
        <v>48</v>
      </c>
      <c r="F29" s="24" t="s">
        <v>60</v>
      </c>
      <c r="G29" s="24" t="s">
        <v>33</v>
      </c>
      <c r="H29" s="24"/>
      <c r="J29" s="2" t="s">
        <v>8</v>
      </c>
      <c r="K29" s="3" t="s">
        <v>9</v>
      </c>
      <c r="L29" s="4" t="s">
        <v>35</v>
      </c>
    </row>
    <row r="30" spans="1:13" ht="17" x14ac:dyDescent="0.2">
      <c r="A30" s="24" t="s">
        <v>311</v>
      </c>
      <c r="B30" s="30" t="s">
        <v>80</v>
      </c>
      <c r="C30" s="30" t="s">
        <v>233</v>
      </c>
      <c r="D30" s="49">
        <v>0.53403999999999996</v>
      </c>
      <c r="E30" s="76" t="s">
        <v>12</v>
      </c>
      <c r="F30" s="77">
        <v>1.941733336212526E-4</v>
      </c>
      <c r="G30" s="77">
        <v>4.3697143276284322E-4</v>
      </c>
      <c r="H30" s="27"/>
      <c r="J30" s="7" t="s">
        <v>13</v>
      </c>
      <c r="K30" s="8">
        <f>AVERAGE(E32:F32)</f>
        <v>1.1776383324899737E-2</v>
      </c>
      <c r="L30" s="9">
        <f>E31</f>
        <v>2.3606735330959938E-3</v>
      </c>
      <c r="M30">
        <f>L30/K30</f>
        <v>0.2004582789101842</v>
      </c>
    </row>
    <row r="31" spans="1:13" ht="17" x14ac:dyDescent="0.2">
      <c r="A31" s="24" t="s">
        <v>312</v>
      </c>
      <c r="B31" s="30" t="s">
        <v>80</v>
      </c>
      <c r="C31" s="30" t="s">
        <v>234</v>
      </c>
      <c r="D31" s="49">
        <v>0.72550000000000003</v>
      </c>
      <c r="E31" s="76">
        <v>2.3606735330959938E-3</v>
      </c>
      <c r="F31" s="77" t="s">
        <v>12</v>
      </c>
      <c r="G31" s="77">
        <v>4.3577334315083211E-4</v>
      </c>
      <c r="H31" s="27"/>
      <c r="J31" s="7" t="s">
        <v>14</v>
      </c>
      <c r="K31" s="8">
        <v>6</v>
      </c>
      <c r="L31" s="11">
        <f>L30/(2*L32)</f>
        <v>1.2027496734611052</v>
      </c>
    </row>
    <row r="32" spans="1:13" x14ac:dyDescent="0.2">
      <c r="A32" s="24" t="s">
        <v>33</v>
      </c>
      <c r="B32" s="30" t="s">
        <v>231</v>
      </c>
      <c r="C32" s="30" t="s">
        <v>16</v>
      </c>
      <c r="E32" s="76">
        <v>1.1808659953742801E-2</v>
      </c>
      <c r="F32" s="76">
        <v>1.1744106696056673E-2</v>
      </c>
      <c r="G32" s="77" t="s">
        <v>12</v>
      </c>
      <c r="H32" s="27"/>
      <c r="J32" s="7" t="s">
        <v>15</v>
      </c>
      <c r="K32" s="10">
        <f>K30/(2*K31)</f>
        <v>9.8136527707497808E-4</v>
      </c>
      <c r="L32" s="13">
        <f>$K32</f>
        <v>9.8136527707497808E-4</v>
      </c>
    </row>
    <row r="33" spans="1:13" x14ac:dyDescent="0.2">
      <c r="A33" s="24" t="s">
        <v>69</v>
      </c>
      <c r="B33" s="30" t="s">
        <v>70</v>
      </c>
      <c r="C33" s="30" t="s">
        <v>235</v>
      </c>
      <c r="E33" s="24"/>
      <c r="F33" s="24"/>
      <c r="G33" s="24"/>
      <c r="H33" s="24"/>
      <c r="J33" s="14" t="s">
        <v>17</v>
      </c>
      <c r="K33" s="15"/>
      <c r="L33" s="16"/>
    </row>
    <row r="34" spans="1:13" x14ac:dyDescent="0.2">
      <c r="A34" s="24"/>
      <c r="B34" s="24"/>
      <c r="C34" s="27"/>
      <c r="D34" s="27"/>
      <c r="J34" s="7" t="s">
        <v>18</v>
      </c>
      <c r="K34" s="32">
        <f>F30/(2*$K$32)</f>
        <v>9.8930203746355597E-2</v>
      </c>
      <c r="L34" s="18">
        <f>(E31+F30)/(2*$K$32)</f>
        <v>1.3016798772074609</v>
      </c>
      <c r="M34">
        <f>F30/K30</f>
        <v>1.6488367291059267E-2</v>
      </c>
    </row>
    <row r="35" spans="1:13" x14ac:dyDescent="0.2">
      <c r="A35" s="57"/>
      <c r="B35" s="24"/>
      <c r="C35" s="24"/>
      <c r="D35" s="27"/>
      <c r="J35" s="19" t="s">
        <v>19</v>
      </c>
      <c r="K35" s="20"/>
      <c r="L35" s="22">
        <f>(E31-F30)/(2*$K$32)</f>
        <v>1.1038194697147494</v>
      </c>
    </row>
    <row r="36" spans="1:13" x14ac:dyDescent="0.2">
      <c r="A36" s="24"/>
      <c r="B36" s="24"/>
      <c r="C36" s="24"/>
      <c r="D36" s="24"/>
    </row>
    <row r="37" spans="1:13" ht="50" customHeight="1" x14ac:dyDescent="0.2">
      <c r="A37" s="147" t="s">
        <v>237</v>
      </c>
      <c r="B37" s="147"/>
      <c r="C37" s="147"/>
      <c r="D37" s="147"/>
      <c r="E37" s="147"/>
      <c r="F37" s="147"/>
      <c r="G37" s="147"/>
      <c r="H37" s="147"/>
      <c r="I37" s="147"/>
      <c r="J37" s="147"/>
      <c r="K37" s="147"/>
      <c r="L37" s="147"/>
    </row>
  </sheetData>
  <mergeCells count="4">
    <mergeCell ref="A37:L37"/>
    <mergeCell ref="A10:L10"/>
    <mergeCell ref="A1:M1"/>
    <mergeCell ref="A28:M28"/>
  </mergeCells>
  <pageMargins left="0.75" right="0.75" top="1" bottom="1" header="0.5" footer="0.5"/>
  <pageSetup orientation="portrait" horizontalDpi="4294967292" verticalDpi="429496729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topLeftCell="A20" workbookViewId="0">
      <selection activeCell="A22" sqref="A22"/>
    </sheetView>
  </sheetViews>
  <sheetFormatPr baseColWidth="10" defaultRowHeight="16" x14ac:dyDescent="0.2"/>
  <cols>
    <col min="1" max="1" width="11.5" bestFit="1" customWidth="1"/>
    <col min="2" max="2" width="12.6640625" customWidth="1"/>
    <col min="3" max="3" width="25.1640625" bestFit="1" customWidth="1"/>
    <col min="4" max="4" width="10.1640625" customWidth="1"/>
    <col min="5" max="5" width="9" customWidth="1"/>
    <col min="6" max="6" width="8.83203125" customWidth="1"/>
    <col min="7" max="7" width="8.5" customWidth="1"/>
    <col min="10" max="10" width="18" bestFit="1" customWidth="1"/>
    <col min="11" max="11" width="12.83203125" bestFit="1" customWidth="1"/>
    <col min="12" max="12" width="7.83203125" bestFit="1" customWidth="1"/>
    <col min="13" max="13" width="12.1640625" bestFit="1" customWidth="1"/>
  </cols>
  <sheetData>
    <row r="1" spans="1:13" x14ac:dyDescent="0.2">
      <c r="A1" s="64" t="s">
        <v>117</v>
      </c>
      <c r="B1" s="65" t="s">
        <v>37</v>
      </c>
      <c r="C1" s="65" t="s">
        <v>190</v>
      </c>
      <c r="D1" s="65" t="s">
        <v>47</v>
      </c>
      <c r="E1" s="66" t="s">
        <v>48</v>
      </c>
      <c r="F1" s="66" t="s">
        <v>49</v>
      </c>
      <c r="G1" s="66" t="s">
        <v>50</v>
      </c>
      <c r="H1" s="64"/>
      <c r="I1" s="64"/>
      <c r="J1" s="67" t="s">
        <v>8</v>
      </c>
      <c r="K1" s="68" t="s">
        <v>9</v>
      </c>
      <c r="L1" s="69" t="s">
        <v>35</v>
      </c>
      <c r="M1" s="64"/>
    </row>
    <row r="2" spans="1:13" ht="17" x14ac:dyDescent="0.2">
      <c r="A2" s="66" t="s">
        <v>285</v>
      </c>
      <c r="B2" s="70" t="s">
        <v>39</v>
      </c>
      <c r="C2" s="121" t="s">
        <v>241</v>
      </c>
      <c r="D2" s="71">
        <v>0.85041999999999995</v>
      </c>
      <c r="E2" s="33" t="s">
        <v>12</v>
      </c>
      <c r="F2" s="51">
        <v>1.688375367332092E-4</v>
      </c>
      <c r="G2" s="51">
        <v>5.6483179728012063E-4</v>
      </c>
      <c r="H2" s="64"/>
      <c r="I2" s="64"/>
      <c r="J2" s="72" t="s">
        <v>13</v>
      </c>
      <c r="K2" s="8">
        <f>AVERAGE(E4:F4)</f>
        <v>1.9908490933567079E-2</v>
      </c>
      <c r="L2" s="9">
        <f>E3</f>
        <v>1.8097405000189089E-3</v>
      </c>
      <c r="M2">
        <f>L2/K2</f>
        <v>9.0902947192625358E-2</v>
      </c>
    </row>
    <row r="3" spans="1:13" ht="17" x14ac:dyDescent="0.2">
      <c r="A3" s="66" t="s">
        <v>287</v>
      </c>
      <c r="B3" s="70" t="s">
        <v>39</v>
      </c>
      <c r="C3" s="109" t="s">
        <v>244</v>
      </c>
      <c r="D3" s="71">
        <v>0.45354</v>
      </c>
      <c r="E3" s="33">
        <v>1.8097405000189089E-3</v>
      </c>
      <c r="F3" s="51" t="s">
        <v>12</v>
      </c>
      <c r="G3" s="51">
        <v>5.680982050790816E-4</v>
      </c>
      <c r="H3" s="64"/>
      <c r="I3" s="64"/>
      <c r="J3" s="72" t="s">
        <v>14</v>
      </c>
      <c r="K3" s="8">
        <v>6</v>
      </c>
      <c r="L3" s="11">
        <f>L2/(2*L4)</f>
        <v>0.54541768315575212</v>
      </c>
    </row>
    <row r="4" spans="1:13" x14ac:dyDescent="0.2">
      <c r="A4" s="66" t="s">
        <v>33</v>
      </c>
      <c r="B4" s="70" t="s">
        <v>40</v>
      </c>
      <c r="C4" s="70" t="s">
        <v>16</v>
      </c>
      <c r="D4" s="65" t="s">
        <v>16</v>
      </c>
      <c r="E4" s="33">
        <v>1.9795491649636468E-2</v>
      </c>
      <c r="F4" s="33">
        <v>2.0021490217497686E-2</v>
      </c>
      <c r="G4" s="51" t="s">
        <v>12</v>
      </c>
      <c r="H4" s="64"/>
      <c r="I4" s="64"/>
      <c r="J4" s="72" t="s">
        <v>15</v>
      </c>
      <c r="K4" s="10">
        <f>K2/(2*K3)</f>
        <v>1.6590409111305899E-3</v>
      </c>
      <c r="L4" s="13">
        <f>$K4</f>
        <v>1.6590409111305899E-3</v>
      </c>
    </row>
    <row r="5" spans="1:13" x14ac:dyDescent="0.2">
      <c r="A5" s="64" t="s">
        <v>69</v>
      </c>
      <c r="B5" s="64" t="s">
        <v>70</v>
      </c>
      <c r="C5" s="64" t="s">
        <v>238</v>
      </c>
      <c r="D5" s="64"/>
      <c r="E5" s="64"/>
      <c r="F5" s="64"/>
      <c r="G5" s="64"/>
      <c r="H5" s="64"/>
      <c r="I5" s="64"/>
      <c r="J5" s="73" t="s">
        <v>17</v>
      </c>
      <c r="K5" s="15"/>
      <c r="L5" s="16"/>
    </row>
    <row r="6" spans="1:13" x14ac:dyDescent="0.2">
      <c r="A6" s="66"/>
      <c r="B6" s="66"/>
      <c r="C6" s="66"/>
      <c r="D6" s="74"/>
      <c r="E6" s="64"/>
      <c r="F6" s="64"/>
      <c r="G6" s="64"/>
      <c r="H6" s="64"/>
      <c r="I6" s="64"/>
      <c r="J6" s="72" t="s">
        <v>18</v>
      </c>
      <c r="K6" s="32">
        <f>F2/(2*$K$14)</f>
        <v>6.4973229803225577E-2</v>
      </c>
      <c r="L6" s="18">
        <f>(E3+F2)/(2*$K$14)</f>
        <v>0.76141009844657637</v>
      </c>
      <c r="M6">
        <f>F2/K2</f>
        <v>8.480679791180834E-3</v>
      </c>
    </row>
    <row r="7" spans="1:13" x14ac:dyDescent="0.2">
      <c r="A7" s="66"/>
      <c r="B7" s="66"/>
      <c r="C7" s="66"/>
      <c r="D7" s="74"/>
      <c r="E7" s="64"/>
      <c r="F7" s="64"/>
      <c r="G7" s="64"/>
      <c r="H7" s="64"/>
      <c r="I7" s="64"/>
      <c r="J7" s="75" t="s">
        <v>19</v>
      </c>
      <c r="K7" s="20"/>
      <c r="L7" s="22">
        <f>(E3-F2)/(2*$K$14)</f>
        <v>0.63146363884012524</v>
      </c>
      <c r="M7" s="64"/>
    </row>
    <row r="8" spans="1:13" x14ac:dyDescent="0.2">
      <c r="A8" s="66"/>
      <c r="B8" s="66"/>
      <c r="C8" s="66"/>
      <c r="D8" s="66"/>
      <c r="E8" s="64"/>
      <c r="F8" s="64"/>
      <c r="G8" s="64"/>
      <c r="H8" s="64"/>
      <c r="I8" s="64"/>
      <c r="J8" s="64"/>
      <c r="K8" s="64"/>
      <c r="L8" s="64"/>
      <c r="M8" s="64"/>
    </row>
    <row r="9" spans="1:13" ht="64" customHeight="1" x14ac:dyDescent="0.2">
      <c r="A9" s="157" t="s">
        <v>118</v>
      </c>
      <c r="B9" s="157"/>
      <c r="C9" s="157"/>
      <c r="D9" s="157"/>
      <c r="E9" s="157"/>
      <c r="F9" s="157"/>
      <c r="G9" s="157"/>
      <c r="H9" s="157"/>
      <c r="I9" s="157"/>
      <c r="J9" s="157"/>
      <c r="K9" s="157"/>
      <c r="L9" s="157"/>
      <c r="M9" s="64"/>
    </row>
    <row r="10" spans="1:13" x14ac:dyDescent="0.2">
      <c r="A10" s="64"/>
      <c r="B10" s="64"/>
      <c r="C10" s="64"/>
      <c r="D10" s="64"/>
      <c r="E10" s="64"/>
      <c r="F10" s="64"/>
      <c r="G10" s="64"/>
      <c r="H10" s="64"/>
      <c r="I10" s="64"/>
      <c r="J10" s="64"/>
      <c r="K10" s="64"/>
      <c r="L10" s="64"/>
      <c r="M10" s="64"/>
    </row>
    <row r="11" spans="1:13" x14ac:dyDescent="0.2">
      <c r="A11" s="64" t="s">
        <v>119</v>
      </c>
      <c r="B11" s="65" t="s">
        <v>37</v>
      </c>
      <c r="C11" s="65"/>
      <c r="D11" s="65" t="s">
        <v>47</v>
      </c>
      <c r="E11" s="66" t="s">
        <v>48</v>
      </c>
      <c r="F11" s="66" t="s">
        <v>49</v>
      </c>
      <c r="G11" s="66" t="s">
        <v>50</v>
      </c>
      <c r="H11" s="64"/>
      <c r="I11" s="64"/>
      <c r="J11" s="67" t="s">
        <v>8</v>
      </c>
      <c r="K11" s="68" t="s">
        <v>9</v>
      </c>
      <c r="L11" s="69" t="s">
        <v>35</v>
      </c>
      <c r="M11" s="64"/>
    </row>
    <row r="12" spans="1:13" ht="17" x14ac:dyDescent="0.2">
      <c r="A12" s="66" t="s">
        <v>286</v>
      </c>
      <c r="B12" s="70" t="s">
        <v>39</v>
      </c>
      <c r="C12" s="121" t="s">
        <v>242</v>
      </c>
      <c r="D12" s="71">
        <v>0.45482</v>
      </c>
      <c r="E12" s="33" t="s">
        <v>12</v>
      </c>
      <c r="F12" s="51">
        <v>6.3889160107437153E-4</v>
      </c>
      <c r="G12" s="51">
        <v>1.2025108949767361E-3</v>
      </c>
      <c r="H12" s="64"/>
      <c r="I12" s="64"/>
      <c r="J12" s="72" t="s">
        <v>13</v>
      </c>
      <c r="K12" s="8">
        <f>AVERAGE(E14:F14)</f>
        <v>1.5591424706255928E-2</v>
      </c>
      <c r="L12" s="9">
        <f>E13</f>
        <v>4.2807670730974452E-3</v>
      </c>
      <c r="M12">
        <f>L12/K12</f>
        <v>0.27455907037025445</v>
      </c>
    </row>
    <row r="13" spans="1:13" ht="17" x14ac:dyDescent="0.2">
      <c r="A13" s="66" t="s">
        <v>288</v>
      </c>
      <c r="B13" s="70" t="s">
        <v>39</v>
      </c>
      <c r="C13" s="109" t="s">
        <v>245</v>
      </c>
      <c r="D13" s="71">
        <v>0.20018</v>
      </c>
      <c r="E13" s="33">
        <v>4.2807670730974452E-3</v>
      </c>
      <c r="F13" s="51" t="s">
        <v>12</v>
      </c>
      <c r="G13" s="51">
        <v>1.2533824516081729E-3</v>
      </c>
      <c r="H13" s="64"/>
      <c r="I13" s="64"/>
      <c r="J13" s="72" t="s">
        <v>14</v>
      </c>
      <c r="K13" s="8">
        <v>6</v>
      </c>
      <c r="L13" s="11">
        <f>L12/(2*L14)</f>
        <v>1.6473544222215268</v>
      </c>
    </row>
    <row r="14" spans="1:13" x14ac:dyDescent="0.2">
      <c r="A14" s="66" t="s">
        <v>33</v>
      </c>
      <c r="B14" s="70" t="s">
        <v>40</v>
      </c>
      <c r="C14" s="70" t="s">
        <v>16</v>
      </c>
      <c r="D14" s="65" t="s">
        <v>16</v>
      </c>
      <c r="E14" s="33">
        <v>1.4959879756042915E-2</v>
      </c>
      <c r="F14" s="33">
        <v>1.6222969656468942E-2</v>
      </c>
      <c r="G14" s="51" t="s">
        <v>12</v>
      </c>
      <c r="H14" s="64"/>
      <c r="I14" s="64"/>
      <c r="J14" s="72" t="s">
        <v>15</v>
      </c>
      <c r="K14" s="10">
        <f>K12/(2*K13)</f>
        <v>1.299285392187994E-3</v>
      </c>
      <c r="L14" s="13">
        <f>$K14</f>
        <v>1.299285392187994E-3</v>
      </c>
    </row>
    <row r="15" spans="1:13" x14ac:dyDescent="0.2">
      <c r="A15" s="64" t="s">
        <v>69</v>
      </c>
      <c r="B15" s="64" t="s">
        <v>70</v>
      </c>
      <c r="C15" s="64" t="s">
        <v>239</v>
      </c>
      <c r="D15" s="64"/>
      <c r="E15" s="64"/>
      <c r="F15" s="64"/>
      <c r="G15" s="64"/>
      <c r="H15" s="64"/>
      <c r="I15" s="64"/>
      <c r="J15" s="73" t="s">
        <v>17</v>
      </c>
      <c r="K15" s="15"/>
      <c r="L15" s="16"/>
    </row>
    <row r="16" spans="1:13" x14ac:dyDescent="0.2">
      <c r="A16" s="66"/>
      <c r="B16" s="66"/>
      <c r="C16" s="66"/>
      <c r="D16" s="74"/>
      <c r="E16" s="64"/>
      <c r="F16" s="64"/>
      <c r="G16" s="64"/>
      <c r="H16" s="64"/>
      <c r="I16" s="64"/>
      <c r="J16" s="72" t="s">
        <v>18</v>
      </c>
      <c r="K16" s="32">
        <f>F12/(2*$K$14)</f>
        <v>0.2458626891811965</v>
      </c>
      <c r="L16" s="18">
        <f>(E13+F12)/(2*$K$14)</f>
        <v>1.8932171114027234</v>
      </c>
      <c r="M16">
        <f>F12/K12</f>
        <v>4.0977114863532747E-2</v>
      </c>
    </row>
    <row r="17" spans="1:13" x14ac:dyDescent="0.2">
      <c r="A17" s="66"/>
      <c r="B17" s="66"/>
      <c r="C17" s="66"/>
      <c r="D17" s="74"/>
      <c r="E17" s="64"/>
      <c r="F17" s="64"/>
      <c r="G17" s="64"/>
      <c r="H17" s="64"/>
      <c r="I17" s="64"/>
      <c r="J17" s="75" t="s">
        <v>19</v>
      </c>
      <c r="K17" s="20"/>
      <c r="L17" s="22">
        <f>(E13-F12)/(2*$K$14)</f>
        <v>1.4014917330403303</v>
      </c>
      <c r="M17" s="64"/>
    </row>
    <row r="18" spans="1:13" x14ac:dyDescent="0.2">
      <c r="A18" s="66"/>
      <c r="B18" s="66"/>
      <c r="C18" s="66"/>
      <c r="D18" s="66"/>
      <c r="E18" s="64"/>
      <c r="F18" s="64"/>
      <c r="G18" s="64"/>
      <c r="H18" s="64"/>
      <c r="I18" s="64"/>
      <c r="J18" s="64"/>
      <c r="K18" s="64"/>
      <c r="L18" s="64"/>
      <c r="M18" s="64"/>
    </row>
    <row r="19" spans="1:13" ht="64" customHeight="1" x14ac:dyDescent="0.2">
      <c r="A19" s="157" t="s">
        <v>120</v>
      </c>
      <c r="B19" s="157"/>
      <c r="C19" s="157"/>
      <c r="D19" s="157"/>
      <c r="E19" s="157"/>
      <c r="F19" s="157"/>
      <c r="G19" s="157"/>
      <c r="H19" s="157"/>
      <c r="I19" s="157"/>
      <c r="J19" s="157"/>
      <c r="K19" s="157"/>
      <c r="L19" s="157"/>
      <c r="M19" s="64"/>
    </row>
    <row r="20" spans="1:13" x14ac:dyDescent="0.2">
      <c r="A20" s="64"/>
      <c r="B20" s="64"/>
      <c r="C20" s="64"/>
      <c r="D20" s="64"/>
      <c r="E20" s="64"/>
      <c r="F20" s="64"/>
      <c r="G20" s="64"/>
      <c r="H20" s="64"/>
      <c r="I20" s="64"/>
      <c r="J20" s="64"/>
      <c r="K20" s="64"/>
      <c r="L20" s="64"/>
      <c r="M20" s="64"/>
    </row>
    <row r="21" spans="1:13" x14ac:dyDescent="0.2">
      <c r="A21" s="64" t="s">
        <v>121</v>
      </c>
      <c r="B21" s="65" t="s">
        <v>37</v>
      </c>
      <c r="C21" s="65"/>
      <c r="D21" s="65" t="s">
        <v>47</v>
      </c>
      <c r="E21" s="66" t="s">
        <v>48</v>
      </c>
      <c r="F21" s="66" t="s">
        <v>49</v>
      </c>
      <c r="G21" s="66" t="s">
        <v>50</v>
      </c>
      <c r="H21" s="66"/>
      <c r="I21" s="64"/>
      <c r="J21" s="67" t="s">
        <v>8</v>
      </c>
      <c r="K21" s="68" t="s">
        <v>9</v>
      </c>
      <c r="L21" s="69" t="s">
        <v>35</v>
      </c>
      <c r="M21" s="64"/>
    </row>
    <row r="22" spans="1:13" ht="17" x14ac:dyDescent="0.2">
      <c r="A22" s="66" t="s">
        <v>48</v>
      </c>
      <c r="B22" s="70" t="s">
        <v>39</v>
      </c>
      <c r="C22" s="121" t="s">
        <v>243</v>
      </c>
      <c r="D22" s="71">
        <v>0.1258</v>
      </c>
      <c r="E22" s="33" t="s">
        <v>12</v>
      </c>
      <c r="F22" s="51">
        <v>1.0255843948681587E-4</v>
      </c>
      <c r="G22" s="51">
        <v>4.6786489797228769E-4</v>
      </c>
      <c r="H22" s="74"/>
      <c r="I22" s="64"/>
      <c r="J22" s="72" t="s">
        <v>13</v>
      </c>
      <c r="K22" s="8">
        <f>AVERAGE(E24:F24)</f>
        <v>1.2163347788086462E-2</v>
      </c>
      <c r="L22" s="9">
        <f>E23</f>
        <v>5.8904862040501783E-4</v>
      </c>
      <c r="M22">
        <f>L22/K22</f>
        <v>4.842816555668733E-2</v>
      </c>
    </row>
    <row r="23" spans="1:13" ht="17" x14ac:dyDescent="0.2">
      <c r="A23" s="66" t="s">
        <v>49</v>
      </c>
      <c r="B23" s="70" t="s">
        <v>39</v>
      </c>
      <c r="C23" s="109" t="s">
        <v>246</v>
      </c>
      <c r="D23" s="71">
        <v>7.2929999999999995E-2</v>
      </c>
      <c r="E23" s="33">
        <v>5.8904862040501783E-4</v>
      </c>
      <c r="F23" s="51" t="s">
        <v>12</v>
      </c>
      <c r="G23" s="51">
        <v>4.7109663829000126E-4</v>
      </c>
      <c r="H23" s="74"/>
      <c r="I23" s="64"/>
      <c r="J23" s="72" t="s">
        <v>14</v>
      </c>
      <c r="K23" s="8">
        <v>6</v>
      </c>
      <c r="L23" s="11">
        <f>L22/(2*L24)</f>
        <v>0.29056899334012398</v>
      </c>
    </row>
    <row r="24" spans="1:13" x14ac:dyDescent="0.2">
      <c r="A24" s="66" t="s">
        <v>50</v>
      </c>
      <c r="B24" s="70" t="s">
        <v>40</v>
      </c>
      <c r="C24" s="70" t="s">
        <v>16</v>
      </c>
      <c r="D24" s="65" t="s">
        <v>16</v>
      </c>
      <c r="E24" s="33">
        <v>1.2081401471294915E-2</v>
      </c>
      <c r="F24" s="33">
        <v>1.2245294104878009E-2</v>
      </c>
      <c r="G24" s="51" t="s">
        <v>12</v>
      </c>
      <c r="H24" s="74"/>
      <c r="I24" s="64"/>
      <c r="J24" s="72" t="s">
        <v>15</v>
      </c>
      <c r="K24" s="10">
        <f>K22/(2*K23)</f>
        <v>1.0136123156738719E-3</v>
      </c>
      <c r="L24" s="13">
        <f>$K24</f>
        <v>1.0136123156738719E-3</v>
      </c>
    </row>
    <row r="25" spans="1:13" x14ac:dyDescent="0.2">
      <c r="A25" s="64" t="s">
        <v>81</v>
      </c>
      <c r="B25" s="64" t="s">
        <v>70</v>
      </c>
      <c r="C25" s="64" t="s">
        <v>240</v>
      </c>
      <c r="D25" s="64"/>
      <c r="E25" s="66"/>
      <c r="F25" s="66"/>
      <c r="G25" s="66"/>
      <c r="H25" s="66"/>
      <c r="I25" s="64"/>
      <c r="J25" s="73" t="s">
        <v>17</v>
      </c>
      <c r="K25" s="15"/>
      <c r="L25" s="16"/>
    </row>
    <row r="26" spans="1:13" x14ac:dyDescent="0.2">
      <c r="A26" s="66"/>
      <c r="B26" s="66"/>
      <c r="C26" s="66"/>
      <c r="D26" s="74"/>
      <c r="E26" s="64"/>
      <c r="F26" s="64"/>
      <c r="G26" s="64"/>
      <c r="H26" s="64"/>
      <c r="I26" s="64"/>
      <c r="J26" s="72" t="s">
        <v>18</v>
      </c>
      <c r="K26" s="32">
        <f>F22/(2*$K$14)</f>
        <v>3.9467248728975418E-2</v>
      </c>
      <c r="L26" s="18">
        <f>(E23+F22)/(2*$K$14)</f>
        <v>0.26614901700971516</v>
      </c>
      <c r="M26">
        <f>F22/K22</f>
        <v>8.4317608337457859E-3</v>
      </c>
    </row>
    <row r="27" spans="1:13" x14ac:dyDescent="0.2">
      <c r="A27" s="66"/>
      <c r="B27" s="66"/>
      <c r="C27" s="66"/>
      <c r="D27" s="74"/>
      <c r="E27" s="64"/>
      <c r="F27" s="64"/>
      <c r="G27" s="64"/>
      <c r="H27" s="64"/>
      <c r="I27" s="64"/>
      <c r="J27" s="75" t="s">
        <v>19</v>
      </c>
      <c r="K27" s="20"/>
      <c r="L27" s="22">
        <f>(E23-F22)/(2*$K$14)</f>
        <v>0.18721451955176435</v>
      </c>
      <c r="M27" s="64"/>
    </row>
    <row r="28" spans="1:13" x14ac:dyDescent="0.2">
      <c r="A28" s="66"/>
      <c r="B28" s="66"/>
      <c r="C28" s="66"/>
      <c r="D28" s="66"/>
      <c r="E28" s="64"/>
      <c r="F28" s="64"/>
      <c r="G28" s="64"/>
      <c r="H28" s="64"/>
      <c r="I28" s="64"/>
      <c r="J28" s="64"/>
      <c r="K28" s="64"/>
      <c r="L28" s="64"/>
      <c r="M28" s="64"/>
    </row>
    <row r="29" spans="1:13" ht="64" customHeight="1" x14ac:dyDescent="0.2">
      <c r="A29" s="157" t="s">
        <v>122</v>
      </c>
      <c r="B29" s="157"/>
      <c r="C29" s="157"/>
      <c r="D29" s="157"/>
      <c r="E29" s="157"/>
      <c r="F29" s="157"/>
      <c r="G29" s="157"/>
      <c r="H29" s="157"/>
      <c r="I29" s="157"/>
      <c r="J29" s="157"/>
      <c r="K29" s="157"/>
      <c r="L29" s="157"/>
      <c r="M29" s="64"/>
    </row>
    <row r="30" spans="1:13" x14ac:dyDescent="0.2">
      <c r="A30" s="133"/>
      <c r="B30" s="133"/>
      <c r="C30" s="133"/>
      <c r="D30" s="133"/>
      <c r="E30" s="133"/>
      <c r="F30" s="133"/>
      <c r="G30" s="133"/>
      <c r="H30" s="133"/>
      <c r="I30" s="133"/>
      <c r="J30" s="133"/>
      <c r="K30" s="133"/>
      <c r="L30" s="133"/>
      <c r="M30" s="64"/>
    </row>
    <row r="31" spans="1:13" x14ac:dyDescent="0.2">
      <c r="A31" s="158" t="s">
        <v>296</v>
      </c>
      <c r="B31" s="159"/>
      <c r="C31" s="159"/>
      <c r="D31" s="159"/>
      <c r="E31" s="159"/>
      <c r="F31" s="159"/>
      <c r="G31" s="159"/>
      <c r="H31" s="159"/>
      <c r="I31" s="159"/>
      <c r="J31" s="159"/>
      <c r="K31" s="159"/>
      <c r="L31" s="160"/>
    </row>
    <row r="32" spans="1:13" x14ac:dyDescent="0.2">
      <c r="A32" s="137"/>
      <c r="B32" s="137"/>
      <c r="C32" s="137"/>
      <c r="D32" s="137"/>
      <c r="E32" s="137"/>
      <c r="F32" s="137"/>
      <c r="G32" s="137"/>
      <c r="H32" s="137"/>
      <c r="I32" s="137"/>
      <c r="J32" s="138"/>
      <c r="K32" s="138"/>
      <c r="L32" s="139"/>
    </row>
    <row r="33" spans="1:13" x14ac:dyDescent="0.2">
      <c r="A33" s="64" t="s">
        <v>121</v>
      </c>
      <c r="B33" s="65" t="s">
        <v>37</v>
      </c>
      <c r="C33" s="65"/>
      <c r="D33" s="65" t="s">
        <v>47</v>
      </c>
      <c r="E33" s="66" t="s">
        <v>48</v>
      </c>
      <c r="F33" s="66" t="s">
        <v>49</v>
      </c>
      <c r="G33" s="66" t="s">
        <v>50</v>
      </c>
      <c r="H33" s="66"/>
      <c r="I33" s="64"/>
      <c r="J33" s="134" t="s">
        <v>8</v>
      </c>
      <c r="K33" s="135" t="s">
        <v>9</v>
      </c>
      <c r="L33" s="136" t="s">
        <v>35</v>
      </c>
      <c r="M33" s="64"/>
    </row>
    <row r="34" spans="1:13" ht="17" x14ac:dyDescent="0.2">
      <c r="A34" s="66" t="s">
        <v>48</v>
      </c>
      <c r="B34" s="70" t="s">
        <v>39</v>
      </c>
      <c r="C34" s="121" t="s">
        <v>243</v>
      </c>
      <c r="D34" s="71">
        <v>8.9130000000000001E-2</v>
      </c>
      <c r="E34" s="76" t="s">
        <v>12</v>
      </c>
      <c r="F34" s="77">
        <v>1.6622204799893273E-4</v>
      </c>
      <c r="G34" s="77">
        <v>5.9685730754796052E-4</v>
      </c>
      <c r="H34" s="74"/>
      <c r="I34" s="64"/>
      <c r="J34" s="72" t="s">
        <v>13</v>
      </c>
      <c r="K34" s="8">
        <f>E36</f>
        <v>1.2135206612961864E-2</v>
      </c>
      <c r="L34" s="9">
        <f>0.000361*2</f>
        <v>7.2199999999999999E-4</v>
      </c>
      <c r="M34">
        <f>L34/K34</f>
        <v>5.9496308800281728E-2</v>
      </c>
    </row>
    <row r="35" spans="1:13" ht="17" x14ac:dyDescent="0.2">
      <c r="A35" s="66" t="s">
        <v>49</v>
      </c>
      <c r="B35" s="70" t="s">
        <v>39</v>
      </c>
      <c r="C35" s="109" t="s">
        <v>246</v>
      </c>
      <c r="D35" s="71">
        <v>4.2630000000000001E-2</v>
      </c>
      <c r="E35" s="76">
        <v>9.5459768817386301E-4</v>
      </c>
      <c r="F35" s="77" t="s">
        <v>12</v>
      </c>
      <c r="G35" s="77">
        <v>6.0349623022585056E-4</v>
      </c>
      <c r="H35" s="74"/>
      <c r="I35" s="64"/>
      <c r="J35" s="72" t="s">
        <v>14</v>
      </c>
      <c r="K35" s="8">
        <v>6</v>
      </c>
      <c r="L35" s="11">
        <f>L34/(2*L36)</f>
        <v>0.35697785280169037</v>
      </c>
    </row>
    <row r="36" spans="1:13" x14ac:dyDescent="0.2">
      <c r="A36" s="66" t="s">
        <v>50</v>
      </c>
      <c r="B36" s="70" t="s">
        <v>40</v>
      </c>
      <c r="C36" s="70" t="s">
        <v>16</v>
      </c>
      <c r="D36" s="65" t="s">
        <v>16</v>
      </c>
      <c r="E36" s="76">
        <v>1.2135206612961864E-2</v>
      </c>
      <c r="F36" s="76">
        <v>1.240077951896636E-2</v>
      </c>
      <c r="G36" s="77" t="s">
        <v>12</v>
      </c>
      <c r="H36" s="74"/>
      <c r="I36" s="64"/>
      <c r="J36" s="72" t="s">
        <v>15</v>
      </c>
      <c r="K36" s="10">
        <f>K34/(2*K35)</f>
        <v>1.011267217746822E-3</v>
      </c>
      <c r="L36" s="13">
        <f>$K36</f>
        <v>1.011267217746822E-3</v>
      </c>
    </row>
    <row r="37" spans="1:13" x14ac:dyDescent="0.2">
      <c r="A37" s="64" t="s">
        <v>81</v>
      </c>
      <c r="B37" s="64" t="s">
        <v>70</v>
      </c>
      <c r="C37" s="64" t="s">
        <v>240</v>
      </c>
      <c r="D37" s="64"/>
      <c r="E37" s="66"/>
      <c r="F37" s="66"/>
      <c r="G37" s="66"/>
      <c r="H37" s="66"/>
      <c r="I37" s="64"/>
      <c r="J37" s="73" t="s">
        <v>17</v>
      </c>
      <c r="K37" s="15"/>
      <c r="L37" s="16"/>
    </row>
    <row r="38" spans="1:13" x14ac:dyDescent="0.2">
      <c r="A38" s="66"/>
      <c r="B38" s="66"/>
      <c r="C38" s="66"/>
      <c r="D38" s="74"/>
      <c r="E38" s="64"/>
      <c r="F38" s="64"/>
      <c r="G38" s="64"/>
      <c r="H38" s="64"/>
      <c r="I38" s="64"/>
      <c r="J38" s="72" t="s">
        <v>18</v>
      </c>
      <c r="K38" s="32">
        <f>F34/(2*$K$14)</f>
        <v>6.3966719320616372E-2</v>
      </c>
      <c r="L38" s="18"/>
      <c r="M38">
        <f>(0.000217*2)/K34</f>
        <v>3.5763709168036381E-2</v>
      </c>
    </row>
    <row r="39" spans="1:13" x14ac:dyDescent="0.2">
      <c r="A39" s="66"/>
      <c r="B39" s="66"/>
      <c r="C39" s="66"/>
      <c r="D39" s="74"/>
      <c r="E39" s="64"/>
      <c r="F39" s="64"/>
      <c r="G39" s="64"/>
      <c r="H39" s="64"/>
      <c r="I39" s="64"/>
      <c r="J39" s="75" t="s">
        <v>19</v>
      </c>
      <c r="K39" s="20"/>
      <c r="L39" s="22"/>
      <c r="M39" s="64"/>
    </row>
    <row r="41" spans="1:13" ht="54" customHeight="1" x14ac:dyDescent="0.2">
      <c r="A41" s="150" t="s">
        <v>297</v>
      </c>
      <c r="B41" s="161"/>
      <c r="C41" s="161"/>
      <c r="D41" s="161"/>
      <c r="E41" s="161"/>
      <c r="F41" s="161"/>
      <c r="G41" s="161"/>
      <c r="H41" s="161"/>
      <c r="I41" s="161"/>
      <c r="J41" s="161"/>
      <c r="K41" s="161"/>
      <c r="L41" s="161"/>
    </row>
    <row r="43" spans="1:13" x14ac:dyDescent="0.2">
      <c r="A43" t="s">
        <v>298</v>
      </c>
    </row>
  </sheetData>
  <mergeCells count="5">
    <mergeCell ref="A9:L9"/>
    <mergeCell ref="A19:L19"/>
    <mergeCell ref="A29:L29"/>
    <mergeCell ref="A31:L31"/>
    <mergeCell ref="A41:L41"/>
  </mergeCells>
  <pageMargins left="0.75" right="0.75" top="1" bottom="1" header="0.5" footer="0.5"/>
  <pageSetup orientation="portrait" horizontalDpi="4294967292" verticalDpi="429496729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opLeftCell="A37" workbookViewId="0">
      <selection activeCell="B5" sqref="B5"/>
    </sheetView>
  </sheetViews>
  <sheetFormatPr baseColWidth="10" defaultRowHeight="16" x14ac:dyDescent="0.2"/>
  <cols>
    <col min="3" max="3" width="24.5" bestFit="1" customWidth="1"/>
    <col min="10" max="10" width="18" bestFit="1" customWidth="1"/>
    <col min="11" max="11" width="12.83203125" bestFit="1" customWidth="1"/>
    <col min="12" max="12" width="10.83203125" customWidth="1"/>
  </cols>
  <sheetData>
    <row r="1" spans="1:13" x14ac:dyDescent="0.2">
      <c r="A1" s="153" t="s">
        <v>255</v>
      </c>
      <c r="B1" s="153"/>
      <c r="C1" s="153"/>
      <c r="D1" s="153"/>
      <c r="E1" s="153"/>
      <c r="F1" s="153"/>
      <c r="G1" s="153"/>
      <c r="H1" s="153"/>
      <c r="I1" s="153"/>
      <c r="J1" s="153"/>
      <c r="K1" s="153"/>
      <c r="L1" s="153"/>
      <c r="M1" s="153"/>
    </row>
    <row r="2" spans="1:13" x14ac:dyDescent="0.2">
      <c r="A2" t="s">
        <v>0</v>
      </c>
      <c r="B2" s="1" t="s">
        <v>37</v>
      </c>
      <c r="C2" s="1" t="s">
        <v>248</v>
      </c>
      <c r="D2" s="1" t="s">
        <v>47</v>
      </c>
      <c r="E2" s="24" t="s">
        <v>48</v>
      </c>
      <c r="F2" s="24" t="s">
        <v>49</v>
      </c>
      <c r="G2" s="24" t="s">
        <v>33</v>
      </c>
      <c r="J2" s="2" t="s">
        <v>8</v>
      </c>
      <c r="K2" s="3" t="s">
        <v>9</v>
      </c>
      <c r="L2" s="4" t="s">
        <v>35</v>
      </c>
    </row>
    <row r="3" spans="1:13" ht="17" x14ac:dyDescent="0.2">
      <c r="A3" s="24" t="s">
        <v>307</v>
      </c>
      <c r="B3" s="30" t="s">
        <v>39</v>
      </c>
      <c r="C3" s="30" t="s">
        <v>249</v>
      </c>
      <c r="D3" s="49">
        <v>7.3859999999999995E-2</v>
      </c>
      <c r="E3" s="24" t="s">
        <v>12</v>
      </c>
      <c r="F3" s="27">
        <v>7.5379390374075673E-5</v>
      </c>
      <c r="G3" s="27">
        <v>1.2896083202765379E-4</v>
      </c>
      <c r="J3" s="7" t="s">
        <v>13</v>
      </c>
      <c r="K3" s="8">
        <f>AVERAGE(E5:F5)</f>
        <v>1.1985469906121489E-2</v>
      </c>
      <c r="L3" s="9">
        <f>E4</f>
        <v>4.4536101911986196E-3</v>
      </c>
      <c r="M3">
        <f>L3/K3</f>
        <v>0.3715841119357341</v>
      </c>
    </row>
    <row r="4" spans="1:13" ht="17" x14ac:dyDescent="0.2">
      <c r="A4" s="24" t="s">
        <v>308</v>
      </c>
      <c r="B4" s="30" t="s">
        <v>39</v>
      </c>
      <c r="C4" s="30" t="s">
        <v>250</v>
      </c>
      <c r="D4" s="49">
        <v>2.2749999999999999E-2</v>
      </c>
      <c r="E4" s="24">
        <v>4.4536101911986196E-3</v>
      </c>
      <c r="F4" s="24" t="s">
        <v>12</v>
      </c>
      <c r="G4" s="27">
        <v>1.2710402021548695E-4</v>
      </c>
      <c r="J4" s="7" t="s">
        <v>14</v>
      </c>
      <c r="K4" s="8">
        <v>6</v>
      </c>
      <c r="L4" s="11">
        <f>L3/(2*L5)</f>
        <v>2.2295046716144045</v>
      </c>
    </row>
    <row r="5" spans="1:13" x14ac:dyDescent="0.2">
      <c r="A5" s="24" t="s">
        <v>33</v>
      </c>
      <c r="B5" s="61" t="s">
        <v>40</v>
      </c>
      <c r="C5" s="30" t="s">
        <v>16</v>
      </c>
      <c r="D5" t="s">
        <v>16</v>
      </c>
      <c r="E5" s="24">
        <v>1.1954103997059684E-2</v>
      </c>
      <c r="F5" s="24">
        <v>1.2016835815183294E-2</v>
      </c>
      <c r="G5" s="24" t="s">
        <v>12</v>
      </c>
      <c r="J5" s="7" t="s">
        <v>15</v>
      </c>
      <c r="K5" s="10">
        <f>K3/(2*K4)</f>
        <v>9.9878915884345741E-4</v>
      </c>
      <c r="L5" s="13">
        <f>$K5</f>
        <v>9.9878915884345741E-4</v>
      </c>
    </row>
    <row r="6" spans="1:13" x14ac:dyDescent="0.2">
      <c r="A6" s="24" t="s">
        <v>69</v>
      </c>
      <c r="B6" t="s">
        <v>70</v>
      </c>
      <c r="C6" s="30" t="s">
        <v>251</v>
      </c>
      <c r="D6" t="s">
        <v>16</v>
      </c>
      <c r="J6" s="14" t="s">
        <v>17</v>
      </c>
      <c r="K6" s="15"/>
      <c r="L6" s="16"/>
    </row>
    <row r="7" spans="1:13" x14ac:dyDescent="0.2">
      <c r="A7" s="24"/>
      <c r="B7" s="24"/>
      <c r="C7" s="27"/>
      <c r="D7" s="27"/>
      <c r="J7" s="7" t="s">
        <v>18</v>
      </c>
      <c r="K7" s="32">
        <f>F3/(2*$K$5)</f>
        <v>3.7735386746368393E-2</v>
      </c>
      <c r="L7" s="18">
        <f>(E4+F3)/(2*$K$5)</f>
        <v>2.2672400583607728</v>
      </c>
      <c r="M7">
        <f>F3/K3</f>
        <v>6.2892311243947317E-3</v>
      </c>
    </row>
    <row r="8" spans="1:13" x14ac:dyDescent="0.2">
      <c r="A8" s="24"/>
      <c r="B8" s="24"/>
      <c r="C8" s="24"/>
      <c r="D8" s="27"/>
      <c r="J8" s="19" t="s">
        <v>19</v>
      </c>
      <c r="K8" s="20"/>
      <c r="L8" s="22">
        <f>(E4-F3)/(2*$K$5)</f>
        <v>2.1917692848680361</v>
      </c>
    </row>
    <row r="9" spans="1:13" x14ac:dyDescent="0.2">
      <c r="A9" s="24" t="s">
        <v>83</v>
      </c>
      <c r="B9" s="24"/>
      <c r="C9" s="24"/>
      <c r="D9" s="24"/>
    </row>
    <row r="10" spans="1:13" ht="67" customHeight="1" x14ac:dyDescent="0.2">
      <c r="A10" s="147" t="s">
        <v>84</v>
      </c>
      <c r="B10" s="147"/>
      <c r="C10" s="147"/>
      <c r="D10" s="147"/>
      <c r="E10" s="147"/>
      <c r="F10" s="147"/>
      <c r="G10" s="147"/>
      <c r="H10" s="147"/>
      <c r="I10" s="147"/>
      <c r="J10" s="147"/>
      <c r="K10" s="147"/>
      <c r="L10" s="147"/>
    </row>
    <row r="12" spans="1:13" x14ac:dyDescent="0.2">
      <c r="A12" t="s">
        <v>247</v>
      </c>
    </row>
    <row r="31" spans="1:13" x14ac:dyDescent="0.2">
      <c r="A31" s="153" t="s">
        <v>260</v>
      </c>
      <c r="B31" s="153"/>
      <c r="C31" s="153"/>
      <c r="D31" s="153"/>
      <c r="E31" s="153"/>
      <c r="F31" s="153"/>
      <c r="G31" s="153"/>
      <c r="H31" s="153"/>
      <c r="I31" s="153"/>
      <c r="J31" s="153"/>
      <c r="K31" s="153"/>
      <c r="L31" s="153"/>
      <c r="M31" s="153"/>
    </row>
    <row r="32" spans="1:13" x14ac:dyDescent="0.2">
      <c r="A32" t="s">
        <v>0</v>
      </c>
      <c r="B32" s="1" t="s">
        <v>37</v>
      </c>
      <c r="C32" s="1" t="s">
        <v>248</v>
      </c>
      <c r="D32" s="1" t="s">
        <v>47</v>
      </c>
      <c r="E32" s="24" t="s">
        <v>48</v>
      </c>
      <c r="F32" s="24" t="s">
        <v>49</v>
      </c>
      <c r="G32" s="24" t="s">
        <v>33</v>
      </c>
      <c r="J32" s="2" t="s">
        <v>8</v>
      </c>
      <c r="K32" s="3" t="s">
        <v>9</v>
      </c>
      <c r="L32" s="4" t="s">
        <v>35</v>
      </c>
    </row>
    <row r="33" spans="1:13" ht="17" x14ac:dyDescent="0.2">
      <c r="A33" s="24" t="s">
        <v>307</v>
      </c>
      <c r="B33" s="30" t="s">
        <v>39</v>
      </c>
      <c r="C33" s="30" t="s">
        <v>261</v>
      </c>
      <c r="D33" s="49">
        <v>0.52873000000000003</v>
      </c>
      <c r="E33" s="76" t="s">
        <v>12</v>
      </c>
      <c r="F33" s="77">
        <v>1.6465525572951183E-4</v>
      </c>
      <c r="G33" s="77">
        <v>2.6787426731970498E-4</v>
      </c>
      <c r="J33" s="7" t="s">
        <v>13</v>
      </c>
      <c r="K33" s="8">
        <f>AVERAGE(E35:F35)</f>
        <v>1.1917582432784374E-2</v>
      </c>
      <c r="L33" s="9">
        <f>E34</f>
        <v>4.5392989335892352E-3</v>
      </c>
      <c r="M33">
        <f>L33/K33</f>
        <v>0.38089091971388128</v>
      </c>
    </row>
    <row r="34" spans="1:13" ht="17" x14ac:dyDescent="0.2">
      <c r="A34" s="24" t="s">
        <v>308</v>
      </c>
      <c r="B34" s="30" t="s">
        <v>39</v>
      </c>
      <c r="C34" s="30" t="s">
        <v>16</v>
      </c>
      <c r="D34" s="49">
        <v>0.26206000000000002</v>
      </c>
      <c r="E34" s="76">
        <v>4.5392989335892352E-3</v>
      </c>
      <c r="F34" s="77" t="s">
        <v>12</v>
      </c>
      <c r="G34" s="77">
        <v>2.6821865565775658E-4</v>
      </c>
      <c r="J34" s="7" t="s">
        <v>14</v>
      </c>
      <c r="K34" s="8">
        <v>6</v>
      </c>
      <c r="L34" s="11">
        <f>L33/(2*L35)</f>
        <v>2.2853455182832878</v>
      </c>
    </row>
    <row r="35" spans="1:13" x14ac:dyDescent="0.2">
      <c r="A35" s="24" t="s">
        <v>33</v>
      </c>
      <c r="B35" s="61" t="s">
        <v>40</v>
      </c>
      <c r="C35" s="30" t="s">
        <v>16</v>
      </c>
      <c r="D35" t="s">
        <v>16</v>
      </c>
      <c r="E35" s="76">
        <v>1.190247858364309E-2</v>
      </c>
      <c r="F35" s="76">
        <v>1.1932686281925658E-2</v>
      </c>
      <c r="G35" s="77" t="s">
        <v>12</v>
      </c>
      <c r="J35" s="7" t="s">
        <v>15</v>
      </c>
      <c r="K35" s="10">
        <f>K33/(2*K34)</f>
        <v>9.9313186939869774E-4</v>
      </c>
      <c r="L35" s="13">
        <f>$K35</f>
        <v>9.9313186939869774E-4</v>
      </c>
    </row>
    <row r="36" spans="1:13" x14ac:dyDescent="0.2">
      <c r="A36" s="24" t="s">
        <v>69</v>
      </c>
      <c r="B36" t="s">
        <v>70</v>
      </c>
      <c r="C36" s="30" t="s">
        <v>16</v>
      </c>
      <c r="D36" t="s">
        <v>16</v>
      </c>
      <c r="J36" s="14" t="s">
        <v>17</v>
      </c>
      <c r="K36" s="15"/>
      <c r="L36" s="16"/>
    </row>
    <row r="37" spans="1:13" x14ac:dyDescent="0.2">
      <c r="A37" s="24"/>
      <c r="B37" s="24"/>
      <c r="C37" s="27"/>
      <c r="D37" s="27"/>
      <c r="J37" s="7" t="s">
        <v>18</v>
      </c>
      <c r="K37" s="32">
        <f>F33/(2*$K$5)</f>
        <v>8.2427434394749297E-2</v>
      </c>
      <c r="L37" s="18">
        <f>(E34+F33)/(2*$K$5)</f>
        <v>2.3548284178242711</v>
      </c>
      <c r="M37">
        <f>F33/K33</f>
        <v>1.3816162519384601E-2</v>
      </c>
    </row>
    <row r="38" spans="1:13" x14ac:dyDescent="0.2">
      <c r="A38" s="24"/>
      <c r="B38" s="24"/>
      <c r="C38" s="24"/>
      <c r="D38" s="27"/>
      <c r="J38" s="19" t="s">
        <v>19</v>
      </c>
      <c r="K38" s="20"/>
      <c r="L38" s="22">
        <f>(E34-F33)/(2*$K$5)</f>
        <v>2.1899735490347725</v>
      </c>
    </row>
    <row r="39" spans="1:13" x14ac:dyDescent="0.2">
      <c r="A39" s="24" t="s">
        <v>83</v>
      </c>
      <c r="B39" s="24"/>
      <c r="C39" s="24"/>
      <c r="D39" s="24"/>
    </row>
    <row r="40" spans="1:13" ht="61" customHeight="1" x14ac:dyDescent="0.2">
      <c r="A40" s="147" t="s">
        <v>262</v>
      </c>
      <c r="B40" s="147"/>
      <c r="C40" s="147"/>
      <c r="D40" s="147"/>
      <c r="E40" s="147"/>
      <c r="F40" s="147"/>
      <c r="G40" s="147"/>
      <c r="H40" s="147"/>
      <c r="I40" s="147"/>
      <c r="J40" s="147"/>
      <c r="K40" s="147"/>
      <c r="L40" s="147"/>
    </row>
    <row r="42" spans="1:13" x14ac:dyDescent="0.2">
      <c r="A42" s="153" t="s">
        <v>309</v>
      </c>
      <c r="B42" s="153"/>
      <c r="C42" s="153"/>
      <c r="D42" s="153"/>
      <c r="E42" s="153"/>
      <c r="F42" s="153"/>
      <c r="G42" s="153"/>
      <c r="H42" s="153"/>
      <c r="I42" s="153"/>
      <c r="J42" s="153"/>
      <c r="K42" s="153"/>
      <c r="L42" s="153"/>
      <c r="M42" s="153"/>
    </row>
    <row r="43" spans="1:13" x14ac:dyDescent="0.2">
      <c r="A43" t="s">
        <v>0</v>
      </c>
      <c r="B43" s="1" t="s">
        <v>37</v>
      </c>
      <c r="C43" s="1" t="s">
        <v>248</v>
      </c>
      <c r="D43" s="1" t="s">
        <v>47</v>
      </c>
      <c r="E43" s="24" t="s">
        <v>48</v>
      </c>
      <c r="F43" s="24" t="s">
        <v>49</v>
      </c>
      <c r="G43" s="24" t="s">
        <v>33</v>
      </c>
      <c r="J43" s="2" t="s">
        <v>8</v>
      </c>
      <c r="K43" s="3" t="s">
        <v>9</v>
      </c>
      <c r="L43" s="4" t="s">
        <v>35</v>
      </c>
    </row>
    <row r="44" spans="1:13" ht="17" x14ac:dyDescent="0.2">
      <c r="A44" s="24" t="s">
        <v>307</v>
      </c>
      <c r="B44" s="30" t="s">
        <v>39</v>
      </c>
      <c r="C44" s="30" t="s">
        <v>261</v>
      </c>
      <c r="D44" s="49">
        <v>0.46922000000000003</v>
      </c>
      <c r="E44" s="76" t="s">
        <v>12</v>
      </c>
      <c r="F44" s="77">
        <v>1.6673689065677461E-4</v>
      </c>
      <c r="G44" s="77">
        <v>2.6974353389334823E-4</v>
      </c>
      <c r="J44" s="7" t="s">
        <v>13</v>
      </c>
      <c r="K44" s="8">
        <f>AVERAGE(E46:F46)</f>
        <v>1.1934227938186496E-2</v>
      </c>
      <c r="L44" s="9">
        <f>E45</f>
        <v>4.5966106105959038E-3</v>
      </c>
      <c r="M44">
        <f>L44/K44</f>
        <v>0.38516195889705762</v>
      </c>
    </row>
    <row r="45" spans="1:13" ht="17" x14ac:dyDescent="0.2">
      <c r="A45" s="24" t="s">
        <v>308</v>
      </c>
      <c r="B45" s="30" t="s">
        <v>39</v>
      </c>
      <c r="C45" s="30" t="s">
        <v>16</v>
      </c>
      <c r="D45" s="49">
        <v>0.22009000000000001</v>
      </c>
      <c r="E45" s="76">
        <v>4.5966106105959038E-3</v>
      </c>
      <c r="F45" s="77" t="s">
        <v>12</v>
      </c>
      <c r="G45" s="77">
        <v>2.700942162782449E-4</v>
      </c>
      <c r="J45" s="7" t="s">
        <v>14</v>
      </c>
      <c r="K45" s="8">
        <v>6</v>
      </c>
      <c r="L45" s="11">
        <f>L44/(2*L46)</f>
        <v>2.3109717533823457</v>
      </c>
    </row>
    <row r="46" spans="1:13" x14ac:dyDescent="0.2">
      <c r="A46" s="24" t="s">
        <v>33</v>
      </c>
      <c r="B46" s="61" t="s">
        <v>40</v>
      </c>
      <c r="C46" s="30" t="s">
        <v>16</v>
      </c>
      <c r="D46" t="s">
        <v>16</v>
      </c>
      <c r="E46" s="76">
        <v>1.1918933691624625E-2</v>
      </c>
      <c r="F46" s="76">
        <v>1.1949522184748367E-2</v>
      </c>
      <c r="G46" s="77" t="s">
        <v>12</v>
      </c>
      <c r="J46" s="7" t="s">
        <v>15</v>
      </c>
      <c r="K46" s="10">
        <f>K44/(2*K45)</f>
        <v>9.9451899484887473E-4</v>
      </c>
      <c r="L46" s="13">
        <f>$K46</f>
        <v>9.9451899484887473E-4</v>
      </c>
    </row>
    <row r="47" spans="1:13" x14ac:dyDescent="0.2">
      <c r="A47" s="24" t="s">
        <v>69</v>
      </c>
      <c r="B47" t="s">
        <v>70</v>
      </c>
      <c r="C47" s="30" t="s">
        <v>16</v>
      </c>
      <c r="D47" t="s">
        <v>16</v>
      </c>
      <c r="J47" s="14" t="s">
        <v>17</v>
      </c>
      <c r="K47" s="15"/>
      <c r="L47" s="16"/>
    </row>
    <row r="48" spans="1:13" x14ac:dyDescent="0.2">
      <c r="A48" s="24"/>
      <c r="B48" s="24"/>
      <c r="C48" s="27"/>
      <c r="D48" s="27"/>
      <c r="J48" s="7" t="s">
        <v>18</v>
      </c>
      <c r="K48" s="32">
        <f>F44/(2*$K$5)</f>
        <v>8.3469513650832328E-2</v>
      </c>
      <c r="L48" s="18">
        <f>(E45+F44)/(2*$K$5)</f>
        <v>2.384561075316622</v>
      </c>
      <c r="M48">
        <f>F44/K44</f>
        <v>1.397131775263475E-2</v>
      </c>
    </row>
    <row r="49" spans="1:12" x14ac:dyDescent="0.2">
      <c r="A49" s="24"/>
      <c r="B49" s="24"/>
      <c r="C49" s="24"/>
      <c r="D49" s="27"/>
      <c r="J49" s="19" t="s">
        <v>19</v>
      </c>
      <c r="K49" s="20"/>
      <c r="L49" s="22">
        <f>(E45-F44)/(2*$K$5)</f>
        <v>2.2176220480149573</v>
      </c>
    </row>
    <row r="50" spans="1:12" x14ac:dyDescent="0.2">
      <c r="A50" s="24"/>
      <c r="B50" s="24"/>
      <c r="C50" s="24"/>
      <c r="D50" s="24"/>
    </row>
    <row r="51" spans="1:12" ht="54" customHeight="1" x14ac:dyDescent="0.2">
      <c r="A51" s="147" t="s">
        <v>310</v>
      </c>
      <c r="B51" s="147"/>
      <c r="C51" s="147"/>
      <c r="D51" s="147"/>
      <c r="E51" s="147"/>
      <c r="F51" s="147"/>
      <c r="G51" s="147"/>
      <c r="H51" s="147"/>
      <c r="I51" s="147"/>
      <c r="J51" s="147"/>
      <c r="K51" s="147"/>
      <c r="L51" s="147"/>
    </row>
  </sheetData>
  <mergeCells count="6">
    <mergeCell ref="A51:L51"/>
    <mergeCell ref="A10:L10"/>
    <mergeCell ref="A1:M1"/>
    <mergeCell ref="A31:M31"/>
    <mergeCell ref="A40:L40"/>
    <mergeCell ref="A42:M42"/>
  </mergeCells>
  <pageMargins left="0.75" right="0.75" top="1" bottom="1" header="0.5" footer="0.5"/>
  <pageSetup orientation="portrait" horizontalDpi="4294967292" verticalDpi="429496729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election activeCell="A9" sqref="A9:M9"/>
    </sheetView>
  </sheetViews>
  <sheetFormatPr baseColWidth="10" defaultRowHeight="16" x14ac:dyDescent="0.2"/>
  <cols>
    <col min="1" max="1" width="28.5" bestFit="1" customWidth="1"/>
    <col min="3" max="3" width="24.83203125" bestFit="1" customWidth="1"/>
    <col min="11" max="11" width="18" bestFit="1" customWidth="1"/>
    <col min="12" max="12" width="12.83203125" bestFit="1" customWidth="1"/>
    <col min="13" max="13" width="7.83203125" bestFit="1" customWidth="1"/>
  </cols>
  <sheetData>
    <row r="1" spans="1:14" x14ac:dyDescent="0.2">
      <c r="A1" t="s">
        <v>0</v>
      </c>
      <c r="B1" s="1" t="s">
        <v>37</v>
      </c>
      <c r="C1" s="1" t="s">
        <v>191</v>
      </c>
      <c r="D1" s="1" t="s">
        <v>47</v>
      </c>
      <c r="E1" s="24" t="s">
        <v>49</v>
      </c>
      <c r="F1" s="24" t="s">
        <v>48</v>
      </c>
      <c r="G1" s="24" t="s">
        <v>33</v>
      </c>
      <c r="H1" s="24"/>
      <c r="I1" s="24"/>
      <c r="K1" s="2" t="s">
        <v>8</v>
      </c>
      <c r="L1" s="3" t="s">
        <v>9</v>
      </c>
      <c r="M1" s="4" t="s">
        <v>35</v>
      </c>
    </row>
    <row r="2" spans="1:14" ht="17" x14ac:dyDescent="0.2">
      <c r="A2" s="24" t="s">
        <v>304</v>
      </c>
      <c r="B2" s="30" t="s">
        <v>39</v>
      </c>
      <c r="C2" s="30" t="s">
        <v>253</v>
      </c>
      <c r="D2" s="49">
        <v>0.34181</v>
      </c>
      <c r="E2" s="76" t="s">
        <v>12</v>
      </c>
      <c r="F2" s="77">
        <v>1.6590268241438471E-4</v>
      </c>
      <c r="G2" s="77">
        <v>2.6977324765497021E-4</v>
      </c>
      <c r="H2" s="27"/>
      <c r="I2" s="27"/>
      <c r="K2" s="7" t="s">
        <v>13</v>
      </c>
      <c r="L2" s="8">
        <f>AVERAGE(E4:F4)</f>
        <v>8.5623904587479316E-3</v>
      </c>
      <c r="M2" s="9">
        <f>E3</f>
        <v>3.3273412598517193E-3</v>
      </c>
      <c r="N2">
        <f>M2/L2</f>
        <v>0.38859957109901205</v>
      </c>
    </row>
    <row r="3" spans="1:14" ht="17" x14ac:dyDescent="0.2">
      <c r="A3" s="24" t="s">
        <v>305</v>
      </c>
      <c r="B3" s="30" t="s">
        <v>39</v>
      </c>
      <c r="C3" s="108" t="s">
        <v>252</v>
      </c>
      <c r="D3" s="49">
        <v>0.74739</v>
      </c>
      <c r="E3" s="76">
        <v>3.3273412598517193E-3</v>
      </c>
      <c r="F3" s="77" t="s">
        <v>12</v>
      </c>
      <c r="G3" s="77">
        <v>2.6421989510314373E-4</v>
      </c>
      <c r="H3" s="27"/>
      <c r="I3" s="27"/>
      <c r="K3" s="7" t="s">
        <v>14</v>
      </c>
      <c r="L3" s="8">
        <v>6</v>
      </c>
      <c r="M3" s="11">
        <f>M2/(2*M4)</f>
        <v>2.3315974265940724</v>
      </c>
    </row>
    <row r="4" spans="1:14" x14ac:dyDescent="0.2">
      <c r="A4" s="24" t="s">
        <v>33</v>
      </c>
      <c r="B4" s="61" t="s">
        <v>40</v>
      </c>
      <c r="C4" s="30" t="s">
        <v>16</v>
      </c>
      <c r="E4" s="76">
        <v>8.7378268711723588E-3</v>
      </c>
      <c r="F4" s="76">
        <v>8.3869540463235026E-3</v>
      </c>
      <c r="G4" s="77" t="s">
        <v>12</v>
      </c>
      <c r="H4" s="27"/>
      <c r="I4" s="27"/>
      <c r="K4" s="7" t="s">
        <v>15</v>
      </c>
      <c r="L4" s="10">
        <f>L2/(2*L3)</f>
        <v>7.1353253822899426E-4</v>
      </c>
      <c r="M4" s="13">
        <f>$L4</f>
        <v>7.1353253822899426E-4</v>
      </c>
    </row>
    <row r="5" spans="1:14" x14ac:dyDescent="0.2">
      <c r="A5" s="24" t="s">
        <v>53</v>
      </c>
      <c r="B5" s="61" t="s">
        <v>45</v>
      </c>
      <c r="C5" s="30" t="s">
        <v>16</v>
      </c>
      <c r="E5" s="24"/>
      <c r="F5" s="24"/>
      <c r="G5" s="24"/>
      <c r="H5" s="24"/>
      <c r="I5" s="27"/>
      <c r="K5" s="14" t="s">
        <v>17</v>
      </c>
      <c r="L5" s="15"/>
      <c r="M5" s="16"/>
    </row>
    <row r="6" spans="1:14" x14ac:dyDescent="0.2">
      <c r="A6" s="24" t="s">
        <v>69</v>
      </c>
      <c r="B6" s="141" t="s">
        <v>46</v>
      </c>
      <c r="C6" s="30" t="s">
        <v>16</v>
      </c>
      <c r="D6" s="27"/>
      <c r="E6" s="24"/>
      <c r="F6" s="24"/>
      <c r="G6" s="24"/>
      <c r="H6" s="24"/>
      <c r="I6" s="24"/>
      <c r="K6" s="7" t="s">
        <v>18</v>
      </c>
      <c r="L6" s="32">
        <f>F2/(2*$L$4)</f>
        <v>0.1162544617980277</v>
      </c>
      <c r="M6" s="18">
        <f>(E3+F2)/(2*$L$4)</f>
        <v>2.4478518883921003</v>
      </c>
      <c r="N6">
        <f>F2/L2</f>
        <v>1.9375743633004615E-2</v>
      </c>
    </row>
    <row r="7" spans="1:14" x14ac:dyDescent="0.2">
      <c r="A7" s="24"/>
      <c r="B7" s="24"/>
      <c r="C7" s="24"/>
      <c r="D7" s="27"/>
      <c r="K7" s="19" t="s">
        <v>19</v>
      </c>
      <c r="L7" s="20"/>
      <c r="M7" s="22">
        <f>(E3-F2)/(2*$L$4)</f>
        <v>2.2153429647960445</v>
      </c>
    </row>
    <row r="8" spans="1:14" x14ac:dyDescent="0.2">
      <c r="A8" s="24"/>
      <c r="B8" s="24"/>
      <c r="C8" s="24"/>
      <c r="D8" s="24"/>
    </row>
    <row r="9" spans="1:14" ht="51" customHeight="1" x14ac:dyDescent="0.2">
      <c r="A9" s="147" t="s">
        <v>254</v>
      </c>
      <c r="B9" s="147"/>
      <c r="C9" s="147"/>
      <c r="D9" s="147"/>
      <c r="E9" s="147"/>
      <c r="F9" s="147"/>
      <c r="G9" s="147"/>
      <c r="H9" s="147"/>
      <c r="I9" s="147"/>
      <c r="J9" s="147"/>
      <c r="K9" s="147"/>
      <c r="L9" s="147"/>
      <c r="M9" s="147"/>
    </row>
    <row r="11" spans="1:14" x14ac:dyDescent="0.2">
      <c r="A11" s="162" t="s">
        <v>299</v>
      </c>
      <c r="B11" s="162"/>
      <c r="C11" s="162"/>
      <c r="D11" s="162"/>
      <c r="E11" s="162"/>
      <c r="F11" s="162"/>
      <c r="G11" s="162"/>
      <c r="H11" s="162"/>
      <c r="I11" s="162"/>
      <c r="J11" s="162"/>
      <c r="K11" s="162"/>
      <c r="L11" s="162"/>
      <c r="M11" s="162"/>
      <c r="N11" s="162"/>
    </row>
    <row r="12" spans="1:14" x14ac:dyDescent="0.2">
      <c r="A12" t="s">
        <v>0</v>
      </c>
      <c r="B12" s="1" t="s">
        <v>37</v>
      </c>
      <c r="C12" s="1" t="s">
        <v>191</v>
      </c>
      <c r="D12" s="1" t="s">
        <v>47</v>
      </c>
      <c r="E12" s="24" t="s">
        <v>49</v>
      </c>
      <c r="F12" s="24" t="s">
        <v>48</v>
      </c>
      <c r="G12" s="24" t="s">
        <v>33</v>
      </c>
      <c r="H12" s="24"/>
      <c r="I12" s="24"/>
      <c r="K12" s="142" t="s">
        <v>8</v>
      </c>
      <c r="L12" s="143" t="s">
        <v>9</v>
      </c>
      <c r="M12" s="144" t="s">
        <v>35</v>
      </c>
    </row>
    <row r="13" spans="1:14" ht="17" x14ac:dyDescent="0.2">
      <c r="A13" s="24" t="s">
        <v>304</v>
      </c>
      <c r="B13" s="30" t="s">
        <v>39</v>
      </c>
      <c r="C13" s="30" t="s">
        <v>253</v>
      </c>
      <c r="D13" s="49">
        <v>0.43178</v>
      </c>
      <c r="E13" s="76" t="s">
        <v>12</v>
      </c>
      <c r="F13" s="77">
        <v>1.7662082203708098E-4</v>
      </c>
      <c r="G13" s="77">
        <v>2.7785057401606819E-4</v>
      </c>
      <c r="H13" s="27"/>
      <c r="I13" s="27"/>
      <c r="K13" s="7" t="s">
        <v>13</v>
      </c>
      <c r="L13" s="8">
        <f>AVERAGE(E15:F15)</f>
        <v>8.5220903665651875E-3</v>
      </c>
      <c r="M13" s="9">
        <f>E14</f>
        <v>3.5420879558904009E-3</v>
      </c>
      <c r="N13">
        <f>M13/L13</f>
        <v>0.41563604744055688</v>
      </c>
    </row>
    <row r="14" spans="1:14" ht="17" x14ac:dyDescent="0.2">
      <c r="A14" s="24" t="s">
        <v>305</v>
      </c>
      <c r="B14" s="30" t="s">
        <v>39</v>
      </c>
      <c r="C14" s="108" t="s">
        <v>252</v>
      </c>
      <c r="D14" s="49">
        <v>0.78973000000000004</v>
      </c>
      <c r="E14" s="76">
        <v>3.5420879558904009E-3</v>
      </c>
      <c r="F14" s="77" t="s">
        <v>12</v>
      </c>
      <c r="G14" s="77">
        <v>2.7173924880274664E-4</v>
      </c>
      <c r="H14" s="27"/>
      <c r="I14" s="27"/>
      <c r="K14" s="7" t="s">
        <v>14</v>
      </c>
      <c r="L14" s="8">
        <v>6</v>
      </c>
      <c r="M14" s="11">
        <f>M13/(2*M15)</f>
        <v>2.4938162846433412</v>
      </c>
    </row>
    <row r="15" spans="1:14" x14ac:dyDescent="0.2">
      <c r="A15" s="24" t="s">
        <v>33</v>
      </c>
      <c r="B15" s="61" t="s">
        <v>40</v>
      </c>
      <c r="C15" s="30" t="s">
        <v>16</v>
      </c>
      <c r="E15" s="76">
        <v>8.7088041387835078E-3</v>
      </c>
      <c r="F15" s="76">
        <v>8.3353765943468688E-3</v>
      </c>
      <c r="G15" s="77" t="s">
        <v>12</v>
      </c>
      <c r="H15" s="27"/>
      <c r="I15" s="27"/>
      <c r="K15" s="7" t="s">
        <v>15</v>
      </c>
      <c r="L15" s="10">
        <f>L13/(2*L14)</f>
        <v>7.1017419721376566E-4</v>
      </c>
      <c r="M15" s="13">
        <f>$L15</f>
        <v>7.1017419721376566E-4</v>
      </c>
    </row>
    <row r="16" spans="1:14" x14ac:dyDescent="0.2">
      <c r="A16" s="24" t="s">
        <v>53</v>
      </c>
      <c r="B16" s="61" t="s">
        <v>45</v>
      </c>
      <c r="C16" s="30" t="s">
        <v>16</v>
      </c>
      <c r="E16" s="24"/>
      <c r="F16" s="24"/>
      <c r="G16" s="24"/>
      <c r="H16" s="24"/>
      <c r="I16" s="27"/>
      <c r="K16" s="14" t="s">
        <v>17</v>
      </c>
      <c r="L16" s="15"/>
      <c r="M16" s="16"/>
    </row>
    <row r="17" spans="1:14" x14ac:dyDescent="0.2">
      <c r="A17" s="24" t="s">
        <v>69</v>
      </c>
      <c r="B17" s="141" t="s">
        <v>46</v>
      </c>
      <c r="C17" s="30" t="s">
        <v>16</v>
      </c>
      <c r="D17" s="27"/>
      <c r="E17" s="24"/>
      <c r="F17" s="24"/>
      <c r="G17" s="24"/>
      <c r="H17" s="24"/>
      <c r="I17" s="24"/>
      <c r="K17" s="7" t="s">
        <v>18</v>
      </c>
      <c r="L17" s="32">
        <f>F13/(2*$L$4)</f>
        <v>0.12376507907786399</v>
      </c>
      <c r="M17" s="18">
        <f>(E14+F13)/(2*$L$4)</f>
        <v>2.6058438674411475</v>
      </c>
      <c r="N17">
        <f>F13/L13</f>
        <v>2.0725058576006122E-2</v>
      </c>
    </row>
    <row r="18" spans="1:14" x14ac:dyDescent="0.2">
      <c r="A18" s="24"/>
      <c r="B18" s="24"/>
      <c r="C18" s="24"/>
      <c r="D18" s="27"/>
      <c r="K18" s="19" t="s">
        <v>19</v>
      </c>
      <c r="L18" s="20"/>
      <c r="M18" s="22">
        <f>(E14-F13)/(2*$L$4)</f>
        <v>2.3583137092854196</v>
      </c>
    </row>
    <row r="19" spans="1:14" x14ac:dyDescent="0.2">
      <c r="A19" s="24"/>
      <c r="B19" s="24"/>
      <c r="C19" s="24"/>
      <c r="D19" s="24"/>
    </row>
    <row r="20" spans="1:14" ht="51" customHeight="1" x14ac:dyDescent="0.2">
      <c r="A20" s="147" t="s">
        <v>306</v>
      </c>
      <c r="B20" s="147"/>
      <c r="C20" s="147"/>
      <c r="D20" s="147"/>
      <c r="E20" s="147"/>
      <c r="F20" s="147"/>
      <c r="G20" s="147"/>
      <c r="H20" s="147"/>
      <c r="I20" s="147"/>
      <c r="J20" s="147"/>
      <c r="K20" s="147"/>
      <c r="L20" s="147"/>
      <c r="M20" s="147"/>
    </row>
  </sheetData>
  <mergeCells count="3">
    <mergeCell ref="A9:M9"/>
    <mergeCell ref="A20:M20"/>
    <mergeCell ref="A11:N11"/>
  </mergeCells>
  <pageMargins left="0.75" right="0.75" top="1" bottom="1" header="0.5" footer="0.5"/>
  <pageSetup orientation="portrait" horizontalDpi="4294967292" verticalDpi="429496729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workbookViewId="0">
      <selection activeCell="K19" sqref="K19"/>
    </sheetView>
  </sheetViews>
  <sheetFormatPr baseColWidth="10" defaultRowHeight="16" x14ac:dyDescent="0.2"/>
  <cols>
    <col min="1" max="1" width="11.33203125" style="1" bestFit="1" customWidth="1"/>
    <col min="2" max="2" width="10.83203125" style="1" customWidth="1"/>
    <col min="3" max="3" width="32.5" style="1" bestFit="1" customWidth="1"/>
    <col min="4" max="4" width="10.83203125" style="1" customWidth="1"/>
    <col min="5" max="7" width="10.83203125" style="1"/>
    <col min="10" max="10" width="18" bestFit="1" customWidth="1"/>
    <col min="11" max="11" width="12.83203125" bestFit="1" customWidth="1"/>
    <col min="12" max="12" width="8.1640625" bestFit="1" customWidth="1"/>
  </cols>
  <sheetData>
    <row r="1" spans="1:14" x14ac:dyDescent="0.2">
      <c r="B1" s="1" t="s">
        <v>37</v>
      </c>
      <c r="C1" s="1" t="s">
        <v>187</v>
      </c>
      <c r="D1" s="1" t="s">
        <v>29</v>
      </c>
      <c r="E1" s="1" t="s">
        <v>31</v>
      </c>
      <c r="F1" s="1" t="s">
        <v>32</v>
      </c>
      <c r="G1" s="1" t="s">
        <v>33</v>
      </c>
      <c r="J1" s="2" t="s">
        <v>8</v>
      </c>
      <c r="K1" s="3" t="s">
        <v>9</v>
      </c>
      <c r="L1" s="4" t="s">
        <v>35</v>
      </c>
    </row>
    <row r="2" spans="1:14" x14ac:dyDescent="0.2">
      <c r="A2" s="5" t="s">
        <v>31</v>
      </c>
      <c r="B2" s="25" t="s">
        <v>39</v>
      </c>
      <c r="C2" s="108" t="s">
        <v>258</v>
      </c>
      <c r="D2" s="26">
        <v>0.90276000000000001</v>
      </c>
      <c r="E2" s="26" t="s">
        <v>12</v>
      </c>
      <c r="F2" s="122">
        <v>6.6741653397298648E-4</v>
      </c>
      <c r="G2" s="122">
        <v>7.0248946950364445E-4</v>
      </c>
      <c r="J2" s="7" t="s">
        <v>13</v>
      </c>
      <c r="K2" s="8">
        <f>AVERAGE(E4:F4)</f>
        <v>1.2401945186095699E-2</v>
      </c>
      <c r="L2" s="9">
        <f>E3</f>
        <v>1.08555957487516E-2</v>
      </c>
      <c r="M2">
        <f>L2/K2</f>
        <v>0.87531395969417991</v>
      </c>
    </row>
    <row r="3" spans="1:14" x14ac:dyDescent="0.2">
      <c r="A3" s="5" t="s">
        <v>32</v>
      </c>
      <c r="B3" s="25" t="s">
        <v>39</v>
      </c>
      <c r="C3" s="25" t="s">
        <v>259</v>
      </c>
      <c r="D3" s="26">
        <v>0.95308999999999999</v>
      </c>
      <c r="E3" s="26">
        <v>1.08555957487516E-2</v>
      </c>
      <c r="F3" s="26" t="s">
        <v>12</v>
      </c>
      <c r="G3" s="122">
        <v>7.2573002000440011E-4</v>
      </c>
      <c r="J3" s="7" t="s">
        <v>14</v>
      </c>
      <c r="K3" s="8">
        <v>6</v>
      </c>
      <c r="L3" s="11">
        <f>L2/(2*L4)</f>
        <v>5.2518837581650804</v>
      </c>
    </row>
    <row r="4" spans="1:14" x14ac:dyDescent="0.2">
      <c r="A4" s="5" t="s">
        <v>33</v>
      </c>
      <c r="B4" s="25" t="s">
        <v>40</v>
      </c>
      <c r="C4" s="25" t="s">
        <v>16</v>
      </c>
      <c r="D4" s="25" t="s">
        <v>16</v>
      </c>
      <c r="E4" s="26">
        <v>1.2008736578182732E-2</v>
      </c>
      <c r="F4" s="26">
        <v>1.2795153794008668E-2</v>
      </c>
      <c r="G4" s="26" t="s">
        <v>12</v>
      </c>
      <c r="J4" s="7" t="s">
        <v>15</v>
      </c>
      <c r="K4" s="10">
        <f>K2/(2*K3)</f>
        <v>1.0334954321746415E-3</v>
      </c>
      <c r="L4" s="13">
        <f>$K4</f>
        <v>1.0334954321746415E-3</v>
      </c>
    </row>
    <row r="5" spans="1:14" x14ac:dyDescent="0.2">
      <c r="A5" s="34" t="s">
        <v>256</v>
      </c>
      <c r="C5" s="1" t="s">
        <v>257</v>
      </c>
      <c r="J5" s="14" t="s">
        <v>17</v>
      </c>
      <c r="K5" s="15"/>
      <c r="L5" s="16"/>
    </row>
    <row r="6" spans="1:14" x14ac:dyDescent="0.2">
      <c r="J6" s="7" t="s">
        <v>18</v>
      </c>
      <c r="K6" s="32">
        <f>F2/(2*$K$4)</f>
        <v>0.3228928320315041</v>
      </c>
      <c r="L6" s="18">
        <f>(E3+F2)/(2*$K$4)</f>
        <v>5.574776590196584</v>
      </c>
      <c r="M6">
        <f>F2/K2</f>
        <v>5.3815472005250678E-2</v>
      </c>
    </row>
    <row r="7" spans="1:14" x14ac:dyDescent="0.2">
      <c r="J7" s="19" t="s">
        <v>19</v>
      </c>
      <c r="K7" s="20"/>
      <c r="L7" s="22">
        <f>(E3-F2)/(2*$K$4)</f>
        <v>4.9289909261335758</v>
      </c>
    </row>
    <row r="8" spans="1:14" s="34" customFormat="1" ht="50" customHeight="1" x14ac:dyDescent="0.2">
      <c r="A8" s="154" t="s">
        <v>34</v>
      </c>
      <c r="B8" s="154"/>
      <c r="C8" s="154"/>
      <c r="D8" s="154"/>
      <c r="E8" s="154"/>
      <c r="F8" s="154"/>
      <c r="G8" s="154"/>
      <c r="H8" s="154"/>
      <c r="I8" s="154"/>
      <c r="J8" s="154"/>
      <c r="K8" s="154"/>
      <c r="L8" s="154"/>
      <c r="M8" s="31"/>
      <c r="N8" s="31"/>
    </row>
    <row r="10" spans="1:14" x14ac:dyDescent="0.2">
      <c r="A10" s="34"/>
    </row>
  </sheetData>
  <mergeCells count="1">
    <mergeCell ref="A8:L8"/>
  </mergeCells>
  <pageMargins left="0.75" right="0.75" top="1" bottom="1" header="0.5" footer="0.5"/>
  <pageSetup orientation="portrait" horizontalDpi="4294967292" verticalDpi="4294967292"/>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workbookViewId="0">
      <selection activeCell="J9" sqref="J9"/>
    </sheetView>
  </sheetViews>
  <sheetFormatPr baseColWidth="10" defaultRowHeight="16" x14ac:dyDescent="0.2"/>
  <cols>
    <col min="3" max="3" width="34.83203125" bestFit="1" customWidth="1"/>
    <col min="4" max="4" width="10.83203125" style="1"/>
    <col min="10" max="10" width="18" bestFit="1" customWidth="1"/>
    <col min="11" max="11" width="12.83203125" bestFit="1" customWidth="1"/>
    <col min="12" max="12" width="13.5" customWidth="1"/>
  </cols>
  <sheetData>
    <row r="1" spans="1:13" x14ac:dyDescent="0.2">
      <c r="B1" s="1" t="s">
        <v>37</v>
      </c>
      <c r="C1" s="1" t="s">
        <v>190</v>
      </c>
      <c r="D1" s="1" t="s">
        <v>29</v>
      </c>
      <c r="E1" s="1" t="s">
        <v>41</v>
      </c>
      <c r="F1" s="1" t="s">
        <v>42</v>
      </c>
      <c r="G1" s="1" t="s">
        <v>33</v>
      </c>
      <c r="J1" s="2" t="s">
        <v>8</v>
      </c>
      <c r="K1" s="3" t="s">
        <v>9</v>
      </c>
      <c r="L1" s="4" t="s">
        <v>35</v>
      </c>
    </row>
    <row r="2" spans="1:13" x14ac:dyDescent="0.2">
      <c r="A2" s="24" t="s">
        <v>41</v>
      </c>
      <c r="B2" s="1" t="s">
        <v>39</v>
      </c>
      <c r="C2" s="25" t="s">
        <v>263</v>
      </c>
      <c r="D2" s="1">
        <v>0.38568000000000002</v>
      </c>
      <c r="E2" s="24" t="s">
        <v>12</v>
      </c>
      <c r="F2" s="27">
        <v>1.2153507284155755E-4</v>
      </c>
      <c r="G2" s="27">
        <v>3.0697193461369694E-4</v>
      </c>
      <c r="J2" s="7" t="s">
        <v>13</v>
      </c>
      <c r="K2" s="8">
        <f>AVERAGE(E4:F4)</f>
        <v>1.3509570157150173E-2</v>
      </c>
      <c r="L2" s="9">
        <f>E3</f>
        <v>2.1523289339019898E-3</v>
      </c>
      <c r="M2">
        <f>L2/K2</f>
        <v>0.15931883167747068</v>
      </c>
    </row>
    <row r="3" spans="1:13" x14ac:dyDescent="0.2">
      <c r="A3" s="24" t="s">
        <v>42</v>
      </c>
      <c r="B3" s="1" t="s">
        <v>39</v>
      </c>
      <c r="C3" s="25" t="s">
        <v>264</v>
      </c>
      <c r="D3" s="1">
        <v>0.31392999999999999</v>
      </c>
      <c r="E3" s="24">
        <v>2.1523289339019898E-3</v>
      </c>
      <c r="F3" s="24" t="s">
        <v>12</v>
      </c>
      <c r="G3" s="27">
        <v>3.0646509149061843E-4</v>
      </c>
      <c r="J3" s="7" t="s">
        <v>14</v>
      </c>
      <c r="K3" s="8">
        <v>6</v>
      </c>
      <c r="L3" s="11">
        <f>L2/(2*L4)</f>
        <v>0.95591299006482422</v>
      </c>
    </row>
    <row r="4" spans="1:13" x14ac:dyDescent="0.2">
      <c r="A4" s="24" t="s">
        <v>33</v>
      </c>
      <c r="B4" s="1" t="s">
        <v>40</v>
      </c>
      <c r="C4" s="25" t="s">
        <v>16</v>
      </c>
      <c r="E4" s="24">
        <v>1.3530774784152738E-2</v>
      </c>
      <c r="F4" s="24">
        <v>1.3488365530147607E-2</v>
      </c>
      <c r="G4" s="24" t="s">
        <v>12</v>
      </c>
      <c r="J4" s="7" t="s">
        <v>15</v>
      </c>
      <c r="K4" s="10">
        <f>K2/(2*K3)</f>
        <v>1.1257975130958477E-3</v>
      </c>
      <c r="L4" s="13">
        <f>$K4</f>
        <v>1.1257975130958477E-3</v>
      </c>
    </row>
    <row r="5" spans="1:13" x14ac:dyDescent="0.2">
      <c r="A5" s="24" t="s">
        <v>69</v>
      </c>
      <c r="B5" s="1" t="s">
        <v>116</v>
      </c>
      <c r="C5" t="s">
        <v>265</v>
      </c>
      <c r="J5" s="14" t="s">
        <v>17</v>
      </c>
      <c r="K5" s="15"/>
      <c r="L5" s="16"/>
    </row>
    <row r="6" spans="1:13" x14ac:dyDescent="0.2">
      <c r="J6" s="7" t="s">
        <v>18</v>
      </c>
      <c r="K6" s="32">
        <f>F2/(2*$K$4)</f>
        <v>5.3977323376450892E-2</v>
      </c>
      <c r="L6" s="18">
        <f>(E3+F2)/(2*$K$4)</f>
        <v>1.0098903134412751</v>
      </c>
      <c r="M6">
        <f>F2/K2</f>
        <v>8.9962205627418142E-3</v>
      </c>
    </row>
    <row r="7" spans="1:13" x14ac:dyDescent="0.2">
      <c r="J7" s="19" t="s">
        <v>19</v>
      </c>
      <c r="K7" s="20"/>
      <c r="L7" s="22">
        <f>(E3-F2)/(2*$K$4)</f>
        <v>0.90193566668837322</v>
      </c>
    </row>
    <row r="8" spans="1:13" ht="50" customHeight="1" x14ac:dyDescent="0.2">
      <c r="A8" s="154" t="s">
        <v>44</v>
      </c>
      <c r="B8" s="154"/>
      <c r="C8" s="154"/>
      <c r="D8" s="154"/>
      <c r="E8" s="154"/>
      <c r="F8" s="154"/>
      <c r="G8" s="154"/>
      <c r="H8" s="154"/>
      <c r="I8" s="154"/>
      <c r="J8" s="154"/>
      <c r="K8" s="154"/>
    </row>
    <row r="10" spans="1:13" x14ac:dyDescent="0.2">
      <c r="A10" t="s">
        <v>363</v>
      </c>
    </row>
  </sheetData>
  <dataConsolidate/>
  <mergeCells count="1">
    <mergeCell ref="A8:K8"/>
  </mergeCells>
  <pageMargins left="0.75" right="0.75" top="1" bottom="1" header="0.5" footer="0.5"/>
  <pageSetup orientation="portrait" horizontalDpi="4294967292" verticalDpi="4294967292"/>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L1" sqref="L1"/>
    </sheetView>
  </sheetViews>
  <sheetFormatPr baseColWidth="10" defaultRowHeight="16" x14ac:dyDescent="0.2"/>
  <cols>
    <col min="1" max="1" width="16.33203125" customWidth="1"/>
    <col min="2" max="2" width="10.1640625" customWidth="1"/>
    <col min="3" max="3" width="25.1640625" bestFit="1" customWidth="1"/>
    <col min="4" max="4" width="14.1640625" customWidth="1"/>
    <col min="5" max="5" width="14" bestFit="1" customWidth="1"/>
    <col min="7" max="7" width="12.5" bestFit="1" customWidth="1"/>
    <col min="8" max="8" width="12.83203125" bestFit="1" customWidth="1"/>
    <col min="10" max="10" width="20.83203125" customWidth="1"/>
    <col min="11" max="12" width="15.83203125" customWidth="1"/>
    <col min="13" max="13" width="12" customWidth="1"/>
  </cols>
  <sheetData>
    <row r="1" spans="1:13" x14ac:dyDescent="0.2">
      <c r="B1" s="1" t="s">
        <v>37</v>
      </c>
      <c r="C1" s="1" t="s">
        <v>190</v>
      </c>
      <c r="D1" s="1" t="s">
        <v>29</v>
      </c>
      <c r="E1" s="1" t="s">
        <v>319</v>
      </c>
      <c r="F1" s="1" t="s">
        <v>320</v>
      </c>
      <c r="G1" s="1" t="s">
        <v>33</v>
      </c>
      <c r="J1" s="2" t="s">
        <v>8</v>
      </c>
      <c r="K1" s="3" t="s">
        <v>9</v>
      </c>
      <c r="L1" s="4" t="s">
        <v>35</v>
      </c>
    </row>
    <row r="2" spans="1:13" x14ac:dyDescent="0.2">
      <c r="A2" s="24" t="s">
        <v>319</v>
      </c>
      <c r="B2" s="5" t="s">
        <v>39</v>
      </c>
      <c r="C2" s="123" t="s">
        <v>266</v>
      </c>
      <c r="D2" s="125">
        <v>4.0000000000000003E-5</v>
      </c>
      <c r="E2" s="76" t="s">
        <v>12</v>
      </c>
      <c r="F2" s="77">
        <v>1.2972203834571094E-4</v>
      </c>
      <c r="G2" s="77">
        <v>1.8208082833962364E-4</v>
      </c>
      <c r="J2" s="36" t="s">
        <v>13</v>
      </c>
      <c r="K2" s="37">
        <f>AVERAGE(E4:F4)</f>
        <v>1.1229661924614054E-2</v>
      </c>
      <c r="L2" s="38">
        <f>E3</f>
        <v>5.6962484259248337E-3</v>
      </c>
      <c r="M2">
        <f>L2/K2</f>
        <v>0.507250215025561</v>
      </c>
    </row>
    <row r="3" spans="1:13" x14ac:dyDescent="0.2">
      <c r="A3" s="24" t="s">
        <v>320</v>
      </c>
      <c r="B3" s="5" t="s">
        <v>39</v>
      </c>
      <c r="C3" s="124" t="s">
        <v>267</v>
      </c>
      <c r="D3" s="126">
        <v>5.7200000000000003E-3</v>
      </c>
      <c r="E3" s="76">
        <v>5.6962484259248337E-3</v>
      </c>
      <c r="F3" s="77" t="s">
        <v>12</v>
      </c>
      <c r="G3" s="77">
        <v>1.8345861273630256E-4</v>
      </c>
      <c r="J3" s="7" t="s">
        <v>14</v>
      </c>
      <c r="K3" s="8">
        <v>6</v>
      </c>
      <c r="L3" s="11">
        <f>L2/(2*L5)</f>
        <v>3.0435012901533658</v>
      </c>
    </row>
    <row r="4" spans="1:13" x14ac:dyDescent="0.2">
      <c r="A4" s="24" t="s">
        <v>33</v>
      </c>
      <c r="B4" s="5" t="s">
        <v>38</v>
      </c>
      <c r="C4" t="s">
        <v>268</v>
      </c>
      <c r="D4" s="1" t="s">
        <v>16</v>
      </c>
      <c r="E4" s="76">
        <v>1.1146160843086436E-2</v>
      </c>
      <c r="F4" s="76">
        <v>1.131316300614167E-2</v>
      </c>
      <c r="G4" s="77" t="s">
        <v>12</v>
      </c>
      <c r="J4" s="7" t="s">
        <v>52</v>
      </c>
      <c r="K4" s="15">
        <v>1</v>
      </c>
      <c r="L4" s="39">
        <f>L3/6</f>
        <v>0.507250215025561</v>
      </c>
    </row>
    <row r="5" spans="1:13" x14ac:dyDescent="0.2">
      <c r="A5" s="24" t="s">
        <v>69</v>
      </c>
      <c r="B5" s="1" t="s">
        <v>70</v>
      </c>
      <c r="C5" s="61" t="s">
        <v>289</v>
      </c>
      <c r="D5" s="127" t="s">
        <v>16</v>
      </c>
      <c r="E5" s="62"/>
      <c r="F5" s="62"/>
      <c r="G5" s="62"/>
      <c r="J5" s="7" t="s">
        <v>15</v>
      </c>
      <c r="K5" s="10">
        <f>K2/(2*K3)</f>
        <v>9.3580516038450445E-4</v>
      </c>
      <c r="L5" s="13">
        <f>$K5</f>
        <v>9.3580516038450445E-4</v>
      </c>
    </row>
    <row r="6" spans="1:13" x14ac:dyDescent="0.2">
      <c r="B6" s="1"/>
      <c r="J6" s="14" t="s">
        <v>17</v>
      </c>
      <c r="K6" s="15"/>
      <c r="L6" s="16"/>
    </row>
    <row r="7" spans="1:13" x14ac:dyDescent="0.2">
      <c r="B7" s="1"/>
      <c r="J7" s="7" t="s">
        <v>18</v>
      </c>
      <c r="K7" s="32">
        <f>F2/(2*$K$5)</f>
        <v>6.9310388442616958E-2</v>
      </c>
      <c r="L7" s="18">
        <f>(L2+F2)/(2*$K$5)</f>
        <v>3.1128116785959827</v>
      </c>
      <c r="M7">
        <f>F2/K2</f>
        <v>1.1551731407102826E-2</v>
      </c>
    </row>
    <row r="8" spans="1:13" x14ac:dyDescent="0.2">
      <c r="B8" s="1"/>
      <c r="J8" s="19" t="s">
        <v>19</v>
      </c>
      <c r="K8" s="20"/>
      <c r="L8" s="22">
        <f>(E3-F2)/(2*$K$5)</f>
        <v>2.9741909017107488</v>
      </c>
    </row>
    <row r="9" spans="1:13" ht="34" customHeight="1" x14ac:dyDescent="0.2">
      <c r="A9" s="154" t="s">
        <v>300</v>
      </c>
      <c r="B9" s="154"/>
      <c r="C9" s="154"/>
      <c r="D9" s="154"/>
      <c r="E9" s="154"/>
      <c r="F9" s="154"/>
      <c r="G9" s="154"/>
      <c r="H9" s="154"/>
      <c r="I9" s="154"/>
      <c r="J9" s="154"/>
      <c r="K9" s="154"/>
      <c r="L9" s="154"/>
      <c r="M9" s="154"/>
    </row>
    <row r="11" spans="1:13" x14ac:dyDescent="0.2">
      <c r="A11" s="163" t="s">
        <v>299</v>
      </c>
      <c r="B11" s="163"/>
      <c r="C11" s="163"/>
      <c r="D11" s="163"/>
      <c r="E11" s="163"/>
      <c r="F11" s="163"/>
      <c r="G11" s="163"/>
      <c r="H11" s="163"/>
      <c r="I11" s="163"/>
      <c r="J11" s="163"/>
      <c r="K11" s="163"/>
      <c r="L11" s="163"/>
      <c r="M11" s="163"/>
    </row>
    <row r="12" spans="1:13" x14ac:dyDescent="0.2">
      <c r="B12" s="1" t="s">
        <v>37</v>
      </c>
      <c r="C12" s="1" t="s">
        <v>190</v>
      </c>
      <c r="D12" s="1" t="s">
        <v>29</v>
      </c>
      <c r="E12" s="1" t="s">
        <v>319</v>
      </c>
      <c r="F12" s="1" t="s">
        <v>320</v>
      </c>
      <c r="G12" s="1" t="s">
        <v>33</v>
      </c>
      <c r="J12" s="2" t="s">
        <v>8</v>
      </c>
      <c r="K12" s="3" t="s">
        <v>9</v>
      </c>
      <c r="L12" s="4" t="s">
        <v>35</v>
      </c>
    </row>
    <row r="13" spans="1:13" x14ac:dyDescent="0.2">
      <c r="A13" s="24" t="s">
        <v>319</v>
      </c>
      <c r="B13" s="5" t="s">
        <v>39</v>
      </c>
      <c r="C13" s="123" t="s">
        <v>266</v>
      </c>
      <c r="D13" s="125">
        <v>4.0000000000000003E-5</v>
      </c>
      <c r="E13" s="76" t="s">
        <v>12</v>
      </c>
      <c r="F13" s="77">
        <v>1.3010851989546309E-4</v>
      </c>
      <c r="G13" s="77">
        <v>1.8242760923224788E-4</v>
      </c>
      <c r="J13" s="36" t="s">
        <v>13</v>
      </c>
      <c r="K13" s="37">
        <f>AVERAGE(E15:F15)</f>
        <v>1.1239263446915521E-2</v>
      </c>
      <c r="L13" s="38">
        <f>E14</f>
        <v>5.7131935324798164E-3</v>
      </c>
      <c r="M13">
        <f>L13/K13</f>
        <v>0.50832454986609754</v>
      </c>
    </row>
    <row r="14" spans="1:13" x14ac:dyDescent="0.2">
      <c r="A14" s="24" t="s">
        <v>320</v>
      </c>
      <c r="B14" s="5" t="s">
        <v>39</v>
      </c>
      <c r="C14" s="124" t="s">
        <v>267</v>
      </c>
      <c r="D14" s="126">
        <v>5.6600000000000001E-3</v>
      </c>
      <c r="E14" s="76">
        <v>5.7131935324798164E-3</v>
      </c>
      <c r="F14" s="77" t="s">
        <v>12</v>
      </c>
      <c r="G14" s="77">
        <v>1.8381096997529671E-4</v>
      </c>
      <c r="J14" s="7" t="s">
        <v>14</v>
      </c>
      <c r="K14" s="8">
        <v>6</v>
      </c>
      <c r="L14" s="11">
        <f>L13/(2*L16)</f>
        <v>3.0499472991965852</v>
      </c>
    </row>
    <row r="15" spans="1:13" x14ac:dyDescent="0.2">
      <c r="A15" s="24" t="s">
        <v>33</v>
      </c>
      <c r="B15" s="5" t="s">
        <v>38</v>
      </c>
      <c r="C15" t="s">
        <v>268</v>
      </c>
      <c r="D15" s="1" t="s">
        <v>16</v>
      </c>
      <c r="E15" s="76">
        <v>1.1155513914953513E-2</v>
      </c>
      <c r="F15" s="76">
        <v>1.1323012978877531E-2</v>
      </c>
      <c r="G15" s="77" t="s">
        <v>12</v>
      </c>
      <c r="J15" s="7" t="s">
        <v>52</v>
      </c>
      <c r="K15" s="15">
        <v>1</v>
      </c>
      <c r="L15" s="39">
        <f>L14/6</f>
        <v>0.50832454986609754</v>
      </c>
    </row>
    <row r="16" spans="1:13" x14ac:dyDescent="0.2">
      <c r="A16" s="24" t="s">
        <v>69</v>
      </c>
      <c r="B16" s="1" t="s">
        <v>70</v>
      </c>
      <c r="C16" s="61" t="s">
        <v>289</v>
      </c>
      <c r="D16" s="127" t="s">
        <v>16</v>
      </c>
      <c r="E16" s="62"/>
      <c r="F16" s="62"/>
      <c r="G16" s="62"/>
      <c r="J16" s="7" t="s">
        <v>15</v>
      </c>
      <c r="K16" s="10">
        <f>K13/(2*K14)</f>
        <v>9.3660528724296007E-4</v>
      </c>
      <c r="L16" s="13">
        <f>$K16</f>
        <v>9.3660528724296007E-4</v>
      </c>
    </row>
    <row r="17" spans="1:13" x14ac:dyDescent="0.2">
      <c r="B17" s="1"/>
      <c r="J17" s="14" t="s">
        <v>17</v>
      </c>
      <c r="K17" s="15"/>
      <c r="L17" s="16"/>
    </row>
    <row r="18" spans="1:13" x14ac:dyDescent="0.2">
      <c r="B18" s="1"/>
      <c r="J18" s="7" t="s">
        <v>18</v>
      </c>
      <c r="K18" s="32">
        <f>F13/(2*$K$5)</f>
        <v>6.9516885246713095E-2</v>
      </c>
      <c r="L18" s="18">
        <f>(L13+F13)/(2*$K$5)</f>
        <v>3.1220719332079652</v>
      </c>
      <c r="M18">
        <f>F13/K13</f>
        <v>1.1576249681305387E-2</v>
      </c>
    </row>
    <row r="19" spans="1:13" x14ac:dyDescent="0.2">
      <c r="B19" s="1"/>
      <c r="J19" s="19" t="s">
        <v>19</v>
      </c>
      <c r="K19" s="20"/>
      <c r="L19" s="22">
        <f>(E14-F13)/(2*$K$5)</f>
        <v>2.9830381627145393</v>
      </c>
    </row>
    <row r="21" spans="1:13" ht="41" customHeight="1" x14ac:dyDescent="0.2">
      <c r="A21" s="164" t="s">
        <v>301</v>
      </c>
      <c r="B21" s="164"/>
      <c r="C21" s="164"/>
      <c r="D21" s="164"/>
      <c r="E21" s="164"/>
      <c r="F21" s="164"/>
      <c r="G21" s="164"/>
      <c r="H21" s="164"/>
      <c r="I21" s="164"/>
      <c r="J21" s="164"/>
      <c r="K21" s="164"/>
      <c r="L21" s="164"/>
      <c r="M21" s="164"/>
    </row>
  </sheetData>
  <mergeCells count="3">
    <mergeCell ref="A9:M9"/>
    <mergeCell ref="A11:M11"/>
    <mergeCell ref="A21:M21"/>
  </mergeCells>
  <pageMargins left="0.75" right="0.75" top="1" bottom="1" header="0.5" footer="0.5"/>
  <pageSetup orientation="portrait" horizontalDpi="4294967292" verticalDpi="4294967292"/>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election activeCell="L2" sqref="L2"/>
    </sheetView>
  </sheetViews>
  <sheetFormatPr baseColWidth="10" defaultRowHeight="16" x14ac:dyDescent="0.2"/>
  <cols>
    <col min="1" max="1" width="20.1640625" bestFit="1" customWidth="1"/>
    <col min="2" max="2" width="12.6640625" style="1" customWidth="1"/>
    <col min="3" max="3" width="25.1640625" style="1" bestFit="1" customWidth="1"/>
    <col min="4" max="4" width="13.5" customWidth="1"/>
    <col min="7" max="7" width="12.83203125" bestFit="1" customWidth="1"/>
    <col min="9" max="9" width="10.83203125" customWidth="1"/>
    <col min="10" max="10" width="18" bestFit="1" customWidth="1"/>
    <col min="11" max="11" width="12.83203125" bestFit="1" customWidth="1"/>
    <col min="12" max="12" width="8.1640625" bestFit="1" customWidth="1"/>
  </cols>
  <sheetData>
    <row r="1" spans="1:13" x14ac:dyDescent="0.2">
      <c r="B1" s="1" t="s">
        <v>37</v>
      </c>
      <c r="C1" s="1" t="s">
        <v>190</v>
      </c>
      <c r="D1" s="1" t="s">
        <v>30</v>
      </c>
      <c r="E1" s="1" t="s">
        <v>302</v>
      </c>
      <c r="F1" s="1" t="s">
        <v>303</v>
      </c>
      <c r="G1" s="1" t="s">
        <v>33</v>
      </c>
      <c r="J1" s="2" t="s">
        <v>8</v>
      </c>
      <c r="K1" s="3" t="s">
        <v>9</v>
      </c>
      <c r="L1" s="4" t="s">
        <v>35</v>
      </c>
    </row>
    <row r="2" spans="1:13" x14ac:dyDescent="0.2">
      <c r="A2" s="24" t="s">
        <v>302</v>
      </c>
      <c r="B2" s="5" t="s">
        <v>51</v>
      </c>
      <c r="C2" s="5" t="s">
        <v>269</v>
      </c>
      <c r="D2" s="26">
        <v>0.83242000000000005</v>
      </c>
      <c r="E2" s="5" t="s">
        <v>12</v>
      </c>
      <c r="F2" s="6">
        <v>7.2052190110212825E-4</v>
      </c>
      <c r="G2" s="6">
        <v>7.5537724782508099E-4</v>
      </c>
      <c r="J2" s="7" t="s">
        <v>13</v>
      </c>
      <c r="K2" s="8">
        <f>AVERAGE(E4:F4)</f>
        <v>1.0976798348588852E-2</v>
      </c>
      <c r="L2" s="9">
        <f>E3</f>
        <v>9.7770129332585692E-3</v>
      </c>
      <c r="M2">
        <f>L2/K2</f>
        <v>0.89069805445733419</v>
      </c>
    </row>
    <row r="3" spans="1:13" x14ac:dyDescent="0.2">
      <c r="A3" s="24" t="s">
        <v>303</v>
      </c>
      <c r="B3" s="5" t="s">
        <v>51</v>
      </c>
      <c r="C3" s="5" t="s">
        <v>270</v>
      </c>
      <c r="D3" s="26">
        <v>0.62490999999999997</v>
      </c>
      <c r="E3" s="5">
        <v>9.7770129332585692E-3</v>
      </c>
      <c r="F3" s="5" t="s">
        <v>12</v>
      </c>
      <c r="G3" s="6">
        <v>7.727574220467116E-4</v>
      </c>
      <c r="J3" s="7" t="s">
        <v>14</v>
      </c>
      <c r="K3" s="8">
        <v>6</v>
      </c>
      <c r="L3" s="11">
        <f>L2/(2*L4)</f>
        <v>5.3441883267440051</v>
      </c>
    </row>
    <row r="4" spans="1:13" x14ac:dyDescent="0.2">
      <c r="A4" s="24" t="s">
        <v>33</v>
      </c>
      <c r="B4" s="5" t="s">
        <v>38</v>
      </c>
      <c r="C4" s="5" t="s">
        <v>271</v>
      </c>
      <c r="D4" s="25" t="s">
        <v>16</v>
      </c>
      <c r="E4" s="5">
        <v>1.0735208320303927E-2</v>
      </c>
      <c r="F4" s="5">
        <v>1.1218388376873776E-2</v>
      </c>
      <c r="G4" s="5" t="s">
        <v>12</v>
      </c>
      <c r="J4" s="7" t="s">
        <v>15</v>
      </c>
      <c r="K4" s="10">
        <f>K2/(2*K3)</f>
        <v>9.147331957157376E-4</v>
      </c>
      <c r="L4" s="13">
        <f>$K4</f>
        <v>9.147331957157376E-4</v>
      </c>
    </row>
    <row r="5" spans="1:13" x14ac:dyDescent="0.2">
      <c r="A5" s="24" t="s">
        <v>69</v>
      </c>
      <c r="B5" s="1" t="s">
        <v>116</v>
      </c>
      <c r="C5" s="1" t="s">
        <v>272</v>
      </c>
      <c r="D5" s="25" t="s">
        <v>16</v>
      </c>
      <c r="J5" s="14" t="s">
        <v>17</v>
      </c>
      <c r="K5" s="15"/>
      <c r="L5" s="16"/>
    </row>
    <row r="6" spans="1:13" x14ac:dyDescent="0.2">
      <c r="J6" s="7" t="s">
        <v>18</v>
      </c>
      <c r="K6" s="32">
        <f>F2/(2*$K$4)</f>
        <v>0.39384265514621031</v>
      </c>
      <c r="L6" s="18">
        <f>(E3+F2)/(2*$K$4)</f>
        <v>5.7380309818902164</v>
      </c>
      <c r="M6" s="33">
        <f>F2/K2</f>
        <v>6.5640442524368375E-2</v>
      </c>
    </row>
    <row r="7" spans="1:13" x14ac:dyDescent="0.2">
      <c r="J7" s="19" t="s">
        <v>19</v>
      </c>
      <c r="K7" s="20"/>
      <c r="L7" s="22">
        <f>(E3-F2)/(2*$K$4)</f>
        <v>4.9503456715977947</v>
      </c>
    </row>
    <row r="8" spans="1:13" ht="51" customHeight="1" x14ac:dyDescent="0.2">
      <c r="A8" s="154" t="s">
        <v>28</v>
      </c>
      <c r="B8" s="154"/>
      <c r="C8" s="154"/>
      <c r="D8" s="154"/>
      <c r="E8" s="154"/>
      <c r="F8" s="154"/>
      <c r="G8" s="154"/>
      <c r="H8" s="154"/>
      <c r="I8" s="154"/>
      <c r="J8" s="154"/>
      <c r="K8" s="154"/>
      <c r="L8" s="154"/>
    </row>
  </sheetData>
  <mergeCells count="1">
    <mergeCell ref="A8:L8"/>
  </mergeCells>
  <pageMargins left="0.75" right="0.75" top="1" bottom="1" header="0.5" footer="0.5"/>
  <pageSetup orientation="portrait" horizontalDpi="4294967292" verticalDpi="429496729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workbookViewId="0">
      <selection activeCell="M29" sqref="M29"/>
    </sheetView>
  </sheetViews>
  <sheetFormatPr baseColWidth="10" defaultRowHeight="16" x14ac:dyDescent="0.2"/>
  <cols>
    <col min="1" max="1" width="26.83203125" bestFit="1" customWidth="1"/>
    <col min="2" max="2" width="13.33203125" customWidth="1"/>
    <col min="3" max="3" width="24.1640625" bestFit="1" customWidth="1"/>
    <col min="4" max="4" width="16.83203125" bestFit="1" customWidth="1"/>
    <col min="5" max="5" width="14" bestFit="1" customWidth="1"/>
    <col min="11" max="11" width="18" bestFit="1" customWidth="1"/>
    <col min="12" max="12" width="12.83203125" bestFit="1" customWidth="1"/>
    <col min="13" max="14" width="14.6640625" bestFit="1" customWidth="1"/>
  </cols>
  <sheetData>
    <row r="1" spans="1:16" x14ac:dyDescent="0.2">
      <c r="A1" s="153" t="s">
        <v>273</v>
      </c>
      <c r="B1" s="153"/>
      <c r="C1" s="153"/>
      <c r="D1" s="153"/>
      <c r="E1" s="153"/>
      <c r="F1" s="153"/>
      <c r="G1" s="153"/>
      <c r="H1" s="153"/>
      <c r="I1" s="153"/>
      <c r="J1" s="153"/>
      <c r="K1" s="153"/>
      <c r="L1" s="153"/>
      <c r="M1" s="153"/>
      <c r="N1" s="153"/>
      <c r="O1" s="153"/>
      <c r="P1" s="153"/>
    </row>
    <row r="2" spans="1:16" x14ac:dyDescent="0.2">
      <c r="B2" t="s">
        <v>37</v>
      </c>
      <c r="C2" t="s">
        <v>274</v>
      </c>
      <c r="D2" t="s">
        <v>126</v>
      </c>
      <c r="E2" s="24" t="s">
        <v>291</v>
      </c>
      <c r="F2" s="24" t="s">
        <v>292</v>
      </c>
      <c r="G2" s="24" t="s">
        <v>293</v>
      </c>
      <c r="H2" t="s">
        <v>33</v>
      </c>
      <c r="K2" s="2" t="s">
        <v>8</v>
      </c>
      <c r="L2" s="3" t="s">
        <v>9</v>
      </c>
      <c r="M2" s="40" t="s">
        <v>327</v>
      </c>
      <c r="N2" s="4" t="s">
        <v>328</v>
      </c>
    </row>
    <row r="3" spans="1:16" x14ac:dyDescent="0.2">
      <c r="A3" s="24" t="s">
        <v>291</v>
      </c>
      <c r="B3" s="24" t="s">
        <v>64</v>
      </c>
      <c r="C3" s="30" t="s">
        <v>275</v>
      </c>
      <c r="D3" s="33">
        <v>0.59362000000000004</v>
      </c>
      <c r="E3" s="76" t="s">
        <v>12</v>
      </c>
      <c r="F3" s="77">
        <v>1.9119152319956704E-4</v>
      </c>
      <c r="G3" s="77">
        <v>2.1713073638201234E-4</v>
      </c>
      <c r="H3" s="77">
        <v>4.2785076673696869E-4</v>
      </c>
      <c r="I3" s="77"/>
      <c r="K3" s="7" t="s">
        <v>13</v>
      </c>
      <c r="L3" s="8">
        <f>AVERAGE(E6:G6)</f>
        <v>1.3232632286174911E-2</v>
      </c>
      <c r="M3" s="41">
        <f>AVERAGE(E4:E5)</f>
        <v>3.0764927757527755E-3</v>
      </c>
      <c r="N3" s="9">
        <f>F5</f>
        <v>2.5933716174351344E-3</v>
      </c>
      <c r="O3">
        <f>M3/L3</f>
        <v>0.2324928789086817</v>
      </c>
      <c r="P3">
        <f>N3/L3</f>
        <v>0.19598304867464786</v>
      </c>
    </row>
    <row r="4" spans="1:16" x14ac:dyDescent="0.2">
      <c r="A4" s="24" t="s">
        <v>292</v>
      </c>
      <c r="B4" s="24" t="s">
        <v>64</v>
      </c>
      <c r="C4" t="s">
        <v>277</v>
      </c>
      <c r="D4" s="33">
        <v>0.56235000000000002</v>
      </c>
      <c r="E4" s="76">
        <v>2.6885427230789499E-3</v>
      </c>
      <c r="F4" s="77" t="s">
        <v>12</v>
      </c>
      <c r="G4" s="77">
        <v>1.8777277195578589E-4</v>
      </c>
      <c r="H4" s="77">
        <v>4.2790866506947498E-4</v>
      </c>
      <c r="I4" s="77"/>
      <c r="K4" s="7" t="s">
        <v>14</v>
      </c>
      <c r="L4" s="8">
        <v>6</v>
      </c>
      <c r="M4" s="42">
        <f>M3/(2*M5)</f>
        <v>1.3949572734520903</v>
      </c>
      <c r="N4" s="11">
        <f>N3/(2*N5)</f>
        <v>1.1758982920478873</v>
      </c>
    </row>
    <row r="5" spans="1:16" x14ac:dyDescent="0.2">
      <c r="A5" s="24" t="s">
        <v>293</v>
      </c>
      <c r="B5" s="24" t="s">
        <v>64</v>
      </c>
      <c r="C5" s="30" t="s">
        <v>276</v>
      </c>
      <c r="D5" s="33">
        <v>0.75649</v>
      </c>
      <c r="E5" s="76">
        <v>3.4644428284266011E-3</v>
      </c>
      <c r="F5" s="76">
        <v>2.5933716174351344E-3</v>
      </c>
      <c r="G5" s="77" t="s">
        <v>12</v>
      </c>
      <c r="H5" s="77">
        <v>4.2559727090164557E-4</v>
      </c>
      <c r="I5" s="77"/>
      <c r="K5" s="7" t="s">
        <v>15</v>
      </c>
      <c r="L5" s="10">
        <f>L3/(2*L4)</f>
        <v>1.1027193571812425E-3</v>
      </c>
      <c r="M5" s="43">
        <f>$L$5</f>
        <v>1.1027193571812425E-3</v>
      </c>
      <c r="N5" s="13">
        <f>$L$5</f>
        <v>1.1027193571812425E-3</v>
      </c>
    </row>
    <row r="6" spans="1:16" x14ac:dyDescent="0.2">
      <c r="A6" s="24" t="s">
        <v>33</v>
      </c>
      <c r="B6" s="24" t="s">
        <v>278</v>
      </c>
      <c r="C6" s="30" t="s">
        <v>16</v>
      </c>
      <c r="D6" s="30" t="s">
        <v>55</v>
      </c>
      <c r="E6" s="76">
        <v>1.3278331562673214E-2</v>
      </c>
      <c r="F6" s="76">
        <v>1.3279224103054415E-2</v>
      </c>
      <c r="G6" s="76">
        <v>1.3140341192797101E-2</v>
      </c>
      <c r="H6" s="77" t="s">
        <v>12</v>
      </c>
      <c r="I6" s="77"/>
      <c r="K6" s="14" t="s">
        <v>17</v>
      </c>
      <c r="L6" s="15"/>
      <c r="M6" s="46">
        <f>AVERAGE(F3:G3)/(2*M5)</f>
        <v>9.2571663162177464E-2</v>
      </c>
      <c r="N6" s="39">
        <f>G4/(2*N5)</f>
        <v>8.5140779806281944E-2</v>
      </c>
      <c r="O6">
        <f>AVERAGE(G3:G4)/L3</f>
        <v>1.5299431722319914E-2</v>
      </c>
      <c r="P6">
        <f>F3/L3</f>
        <v>1.4448487577132983E-2</v>
      </c>
    </row>
    <row r="7" spans="1:16" x14ac:dyDescent="0.2">
      <c r="A7" s="24" t="s">
        <v>69</v>
      </c>
      <c r="B7" s="24" t="s">
        <v>290</v>
      </c>
      <c r="C7" t="s">
        <v>16</v>
      </c>
      <c r="D7" s="30"/>
      <c r="E7" s="76"/>
      <c r="F7" s="76"/>
      <c r="G7" s="76"/>
      <c r="H7" s="76"/>
      <c r="I7" s="77" t="s">
        <v>12</v>
      </c>
      <c r="K7" s="7" t="s">
        <v>18</v>
      </c>
      <c r="L7" s="32"/>
      <c r="M7" s="44">
        <f>M4+M6</f>
        <v>1.4875289366142677</v>
      </c>
      <c r="N7" s="18">
        <f>N4+N6</f>
        <v>1.2610390718541693</v>
      </c>
    </row>
    <row r="8" spans="1:16" x14ac:dyDescent="0.2">
      <c r="K8" s="19" t="s">
        <v>19</v>
      </c>
      <c r="L8" s="20"/>
      <c r="M8" s="45">
        <f>M4-M6</f>
        <v>1.302385610289913</v>
      </c>
      <c r="N8" s="22">
        <f>N4-N6</f>
        <v>1.0907575122416053</v>
      </c>
    </row>
    <row r="9" spans="1:16" s="34" customFormat="1" ht="29" customHeight="1" x14ac:dyDescent="0.2">
      <c r="A9" s="154" t="s">
        <v>330</v>
      </c>
      <c r="B9" s="154"/>
      <c r="C9" s="154"/>
      <c r="D9" s="154"/>
      <c r="E9" s="154"/>
      <c r="F9" s="154"/>
      <c r="G9" s="154"/>
      <c r="H9" s="154"/>
      <c r="I9" s="154"/>
      <c r="J9" s="154"/>
      <c r="K9" s="154"/>
      <c r="L9" s="154"/>
      <c r="M9" s="154"/>
      <c r="N9" s="154"/>
      <c r="O9" s="154"/>
      <c r="P9" s="154"/>
    </row>
    <row r="11" spans="1:16" x14ac:dyDescent="0.2">
      <c r="A11" s="153" t="s">
        <v>329</v>
      </c>
      <c r="B11" s="153"/>
      <c r="C11" s="153"/>
      <c r="D11" s="153"/>
      <c r="E11" s="153"/>
      <c r="F11" s="153"/>
      <c r="G11" s="153"/>
      <c r="H11" s="153"/>
      <c r="I11" s="153"/>
      <c r="J11" s="153"/>
      <c r="K11" s="153"/>
      <c r="L11" s="153"/>
      <c r="M11" s="153"/>
      <c r="N11" s="153"/>
      <c r="O11" s="153"/>
      <c r="P11" s="153"/>
    </row>
    <row r="12" spans="1:16" x14ac:dyDescent="0.2">
      <c r="B12" t="s">
        <v>37</v>
      </c>
      <c r="C12" t="s">
        <v>274</v>
      </c>
      <c r="D12" t="s">
        <v>126</v>
      </c>
      <c r="E12" s="24" t="s">
        <v>291</v>
      </c>
      <c r="F12" s="24" t="s">
        <v>292</v>
      </c>
      <c r="G12" s="24" t="s">
        <v>293</v>
      </c>
      <c r="H12" t="s">
        <v>33</v>
      </c>
      <c r="K12" s="2" t="s">
        <v>8</v>
      </c>
      <c r="L12" s="3" t="s">
        <v>9</v>
      </c>
      <c r="M12" s="40" t="s">
        <v>327</v>
      </c>
      <c r="N12" s="4" t="s">
        <v>328</v>
      </c>
    </row>
    <row r="13" spans="1:16" x14ac:dyDescent="0.2">
      <c r="A13" s="24" t="s">
        <v>291</v>
      </c>
      <c r="B13" s="24" t="s">
        <v>64</v>
      </c>
      <c r="C13" s="30" t="s">
        <v>275</v>
      </c>
      <c r="D13" s="33">
        <v>0.49634</v>
      </c>
      <c r="E13" s="76"/>
      <c r="F13" s="77">
        <v>1.8643511754360328E-4</v>
      </c>
      <c r="G13" s="77">
        <v>2.1708405993325512E-4</v>
      </c>
      <c r="H13" s="77">
        <v>4.3476123572096709E-4</v>
      </c>
      <c r="I13" s="77"/>
      <c r="K13" s="7" t="s">
        <v>13</v>
      </c>
      <c r="L13" s="8">
        <f>AVERAGE(E16:G16)</f>
        <v>1.2728775007535878E-2</v>
      </c>
      <c r="M13" s="41">
        <f>AVERAGE(E15:F15)</f>
        <v>3.0131947429721008E-3</v>
      </c>
      <c r="N13" s="9">
        <f>E14</f>
        <v>2.3861289664418362E-3</v>
      </c>
      <c r="O13">
        <f>M13/L13</f>
        <v>0.23672307360199113</v>
      </c>
      <c r="P13">
        <f>N13/L13</f>
        <v>0.18745943462973969</v>
      </c>
    </row>
    <row r="14" spans="1:16" x14ac:dyDescent="0.2">
      <c r="A14" s="24" t="s">
        <v>292</v>
      </c>
      <c r="B14" s="24" t="s">
        <v>64</v>
      </c>
      <c r="C14" t="s">
        <v>277</v>
      </c>
      <c r="D14" s="33">
        <v>0.41465999999999997</v>
      </c>
      <c r="E14" s="76">
        <v>2.3861289664418362E-3</v>
      </c>
      <c r="F14" s="77" t="s">
        <v>12</v>
      </c>
      <c r="G14" s="77">
        <v>2.0181280721571585E-4</v>
      </c>
      <c r="H14" s="77">
        <v>4.3428638575804788E-4</v>
      </c>
      <c r="I14" s="77"/>
      <c r="K14" s="7" t="s">
        <v>14</v>
      </c>
      <c r="L14" s="8">
        <v>6</v>
      </c>
      <c r="M14" s="42">
        <f>M13/(2*M15)</f>
        <v>1.3662563930474529</v>
      </c>
      <c r="N14" s="11">
        <f>N13/(2*N15)</f>
        <v>1.0819293916002479</v>
      </c>
    </row>
    <row r="15" spans="1:16" x14ac:dyDescent="0.2">
      <c r="A15" s="24" t="s">
        <v>293</v>
      </c>
      <c r="B15" s="24" t="s">
        <v>64</v>
      </c>
      <c r="C15" s="30" t="s">
        <v>276</v>
      </c>
      <c r="D15" s="33">
        <v>0.58691000000000004</v>
      </c>
      <c r="E15" s="76">
        <v>3.2319700935336455E-3</v>
      </c>
      <c r="F15" s="76">
        <v>2.7944193924105557E-3</v>
      </c>
      <c r="G15" s="77" t="s">
        <v>12</v>
      </c>
      <c r="H15" s="77">
        <v>4.3141943417602223E-4</v>
      </c>
      <c r="I15" s="77"/>
      <c r="K15" s="7" t="s">
        <v>15</v>
      </c>
      <c r="L15" s="10">
        <f>L13/(2*L14)</f>
        <v>1.0607312506279898E-3</v>
      </c>
      <c r="M15" s="43">
        <f>$L$5</f>
        <v>1.1027193571812425E-3</v>
      </c>
      <c r="N15" s="13">
        <f>$L$5</f>
        <v>1.1027193571812425E-3</v>
      </c>
    </row>
    <row r="16" spans="1:16" x14ac:dyDescent="0.2">
      <c r="A16" s="24" t="s">
        <v>33</v>
      </c>
      <c r="B16" s="24" t="s">
        <v>278</v>
      </c>
      <c r="C16" s="30" t="s">
        <v>16</v>
      </c>
      <c r="D16" s="30" t="s">
        <v>55</v>
      </c>
      <c r="E16" s="76">
        <v>1.2802666860351777E-2</v>
      </c>
      <c r="F16" s="76">
        <v>1.2773585242337357E-2</v>
      </c>
      <c r="G16" s="76">
        <v>1.2610072919918492E-2</v>
      </c>
      <c r="H16" s="77" t="s">
        <v>12</v>
      </c>
      <c r="I16" s="77"/>
      <c r="K16" s="14" t="s">
        <v>17</v>
      </c>
      <c r="L16" s="15"/>
      <c r="M16" s="46">
        <f>AVERAGE(F13:G13)/(2*M15)</f>
        <v>9.1482745552850603E-2</v>
      </c>
      <c r="N16" s="39">
        <f>G14/(2*N15)</f>
        <v>9.1506876115599906E-2</v>
      </c>
      <c r="O16">
        <f>AVERAGE(G13:G14)/L13</f>
        <v>1.6454720383578526E-2</v>
      </c>
      <c r="P16">
        <f>F13/L13</f>
        <v>1.4646744673641195E-2</v>
      </c>
    </row>
    <row r="17" spans="1:16" x14ac:dyDescent="0.2">
      <c r="A17" s="24" t="s">
        <v>69</v>
      </c>
      <c r="B17" s="24" t="s">
        <v>290</v>
      </c>
      <c r="C17" t="s">
        <v>16</v>
      </c>
      <c r="D17" s="30"/>
      <c r="E17" s="76"/>
      <c r="F17" s="76"/>
      <c r="G17" s="76"/>
      <c r="H17" s="76"/>
      <c r="I17" s="77" t="s">
        <v>12</v>
      </c>
      <c r="K17" s="7" t="s">
        <v>18</v>
      </c>
      <c r="L17" s="32"/>
      <c r="M17" s="44">
        <f>M14+M16</f>
        <v>1.4577391386003036</v>
      </c>
      <c r="N17" s="18">
        <f>N14+N16</f>
        <v>1.1734362677158479</v>
      </c>
    </row>
    <row r="18" spans="1:16" x14ac:dyDescent="0.2">
      <c r="K18" s="19" t="s">
        <v>19</v>
      </c>
      <c r="L18" s="20"/>
      <c r="M18" s="45">
        <f>M14-M16</f>
        <v>1.2747736474946023</v>
      </c>
      <c r="N18" s="22">
        <f>N14-N16</f>
        <v>0.99042251548464799</v>
      </c>
    </row>
    <row r="19" spans="1:16" ht="41" customHeight="1" x14ac:dyDescent="0.2">
      <c r="A19" s="154" t="s">
        <v>331</v>
      </c>
      <c r="B19" s="154"/>
      <c r="C19" s="154"/>
      <c r="D19" s="154"/>
      <c r="E19" s="154"/>
      <c r="F19" s="154"/>
      <c r="G19" s="154"/>
      <c r="H19" s="154"/>
      <c r="I19" s="154"/>
      <c r="J19" s="154"/>
      <c r="K19" s="154"/>
      <c r="L19" s="154"/>
      <c r="M19" s="154"/>
      <c r="N19" s="154"/>
      <c r="O19" s="154"/>
      <c r="P19" s="154"/>
    </row>
  </sheetData>
  <mergeCells count="4">
    <mergeCell ref="A1:P1"/>
    <mergeCell ref="A9:P9"/>
    <mergeCell ref="A11:P11"/>
    <mergeCell ref="A19:P19"/>
  </mergeCells>
  <pageMargins left="0.75" right="0.75" top="1" bottom="1" header="0.5" footer="0.5"/>
  <pageSetup orientation="portrait" horizontalDpi="4294967292" verticalDpi="4294967292"/>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workbookViewId="0">
      <selection activeCell="F43" sqref="F43"/>
    </sheetView>
  </sheetViews>
  <sheetFormatPr baseColWidth="10" defaultRowHeight="16" x14ac:dyDescent="0.2"/>
  <cols>
    <col min="1" max="1" width="24.5" customWidth="1"/>
    <col min="2" max="2" width="10.33203125" customWidth="1"/>
    <col min="3" max="3" width="34.33203125" customWidth="1"/>
    <col min="4" max="4" width="10.33203125" customWidth="1"/>
    <col min="11" max="11" width="18" bestFit="1" customWidth="1"/>
    <col min="12" max="12" width="12.83203125" bestFit="1" customWidth="1"/>
    <col min="13" max="13" width="16" bestFit="1" customWidth="1"/>
    <col min="14" max="14" width="11.83203125" bestFit="1" customWidth="1"/>
  </cols>
  <sheetData>
    <row r="1" spans="1:16" x14ac:dyDescent="0.2">
      <c r="A1" s="153" t="s">
        <v>67</v>
      </c>
      <c r="B1" s="153"/>
      <c r="C1" s="153"/>
      <c r="D1" s="153"/>
      <c r="E1" s="153"/>
      <c r="F1" s="153"/>
      <c r="G1" s="153"/>
      <c r="H1" s="153"/>
      <c r="I1" s="153"/>
      <c r="J1" s="153"/>
      <c r="K1" s="153"/>
      <c r="L1" s="153"/>
      <c r="M1" s="153"/>
      <c r="N1" s="153"/>
      <c r="O1" s="153"/>
      <c r="P1" s="153"/>
    </row>
    <row r="2" spans="1:16" x14ac:dyDescent="0.2">
      <c r="B2" t="s">
        <v>65</v>
      </c>
      <c r="C2" t="s">
        <v>190</v>
      </c>
      <c r="D2" t="s">
        <v>66</v>
      </c>
      <c r="E2" t="s">
        <v>334</v>
      </c>
      <c r="F2" t="s">
        <v>335</v>
      </c>
      <c r="G2" t="s">
        <v>336</v>
      </c>
      <c r="H2" t="s">
        <v>33</v>
      </c>
      <c r="K2" s="2" t="s">
        <v>8</v>
      </c>
      <c r="L2" s="3" t="s">
        <v>9</v>
      </c>
      <c r="M2" s="40" t="s">
        <v>339</v>
      </c>
      <c r="N2" s="40" t="s">
        <v>284</v>
      </c>
    </row>
    <row r="3" spans="1:16" x14ac:dyDescent="0.2">
      <c r="A3" s="24" t="s">
        <v>337</v>
      </c>
      <c r="B3" s="24" t="s">
        <v>67</v>
      </c>
      <c r="C3" s="141" t="s">
        <v>279</v>
      </c>
      <c r="D3" s="132">
        <v>0.754</v>
      </c>
      <c r="E3" s="76" t="s">
        <v>12</v>
      </c>
      <c r="F3" s="77">
        <v>1.4064598903609061E-4</v>
      </c>
      <c r="G3" s="77">
        <v>2.3702753210405085E-4</v>
      </c>
      <c r="H3" s="77">
        <v>5.9582301901480968E-4</v>
      </c>
      <c r="K3" s="7" t="s">
        <v>13</v>
      </c>
      <c r="L3" s="8">
        <f>AVERAGE(E6:G6)</f>
        <v>1.2051055671166202E-2</v>
      </c>
      <c r="M3" s="41">
        <f>AVERAGE(E5:F5)</f>
        <v>1.8097029156438297E-3</v>
      </c>
      <c r="N3" s="128">
        <f>E4</f>
        <v>6.8885358770093383E-4</v>
      </c>
      <c r="O3">
        <f>M3/L3</f>
        <v>0.15016965857802742</v>
      </c>
      <c r="P3">
        <f>N3/L3</f>
        <v>5.7161265078968161E-2</v>
      </c>
    </row>
    <row r="4" spans="1:16" x14ac:dyDescent="0.2">
      <c r="A4" s="24" t="s">
        <v>338</v>
      </c>
      <c r="B4" s="24" t="s">
        <v>67</v>
      </c>
      <c r="C4" s="141" t="s">
        <v>280</v>
      </c>
      <c r="D4" s="132">
        <v>0.50017999999999996</v>
      </c>
      <c r="E4" s="76">
        <v>6.8885358770093383E-4</v>
      </c>
      <c r="F4" s="77" t="s">
        <v>12</v>
      </c>
      <c r="G4" s="77">
        <v>2.1883420804360583E-4</v>
      </c>
      <c r="H4" s="77">
        <v>5.9439459058251978E-4</v>
      </c>
      <c r="K4" s="7" t="s">
        <v>14</v>
      </c>
      <c r="L4" s="8">
        <v>6</v>
      </c>
      <c r="M4" s="42">
        <f>M3/(2*M5)</f>
        <v>0.90101795146816455</v>
      </c>
      <c r="N4" s="131">
        <f>N3/(N5*2)</f>
        <v>0.34296759047380898</v>
      </c>
    </row>
    <row r="5" spans="1:16" x14ac:dyDescent="0.2">
      <c r="A5" s="24" t="s">
        <v>336</v>
      </c>
      <c r="B5" s="24" t="s">
        <v>67</v>
      </c>
      <c r="C5" s="141" t="s">
        <v>281</v>
      </c>
      <c r="D5" s="132">
        <v>0.44694</v>
      </c>
      <c r="E5" s="76">
        <v>1.9535427434800726E-3</v>
      </c>
      <c r="F5" s="76">
        <v>1.6658630878075866E-3</v>
      </c>
      <c r="G5" s="77" t="s">
        <v>12</v>
      </c>
      <c r="H5" s="77">
        <v>5.8702847031137032E-4</v>
      </c>
      <c r="K5" s="7" t="s">
        <v>15</v>
      </c>
      <c r="L5" s="10">
        <f>L3/(2*L4)</f>
        <v>1.0042546392638502E-3</v>
      </c>
      <c r="M5" s="43">
        <f>$L$5</f>
        <v>1.0042546392638502E-3</v>
      </c>
      <c r="N5" s="41">
        <f>L5</f>
        <v>1.0042546392638502E-3</v>
      </c>
    </row>
    <row r="6" spans="1:16" x14ac:dyDescent="0.2">
      <c r="A6" s="24" t="s">
        <v>33</v>
      </c>
      <c r="B6" s="24" t="s">
        <v>40</v>
      </c>
      <c r="C6" s="141" t="s">
        <v>282</v>
      </c>
      <c r="D6" s="132" t="s">
        <v>55</v>
      </c>
      <c r="E6" s="76">
        <v>1.2187397574931317E-2</v>
      </c>
      <c r="F6" s="76">
        <v>1.2129207628848362E-2</v>
      </c>
      <c r="G6" s="76">
        <v>1.1836561809718925E-2</v>
      </c>
      <c r="H6" s="77" t="s">
        <v>12</v>
      </c>
      <c r="K6" s="14" t="s">
        <v>17</v>
      </c>
      <c r="L6" s="15"/>
      <c r="M6" s="46"/>
      <c r="N6" s="129"/>
      <c r="O6">
        <f>(AVERAGE(G3:G4))/L3</f>
        <v>1.8913767913228061E-2</v>
      </c>
      <c r="P6">
        <f>F3/L3</f>
        <v>1.1670843855829607E-2</v>
      </c>
    </row>
    <row r="7" spans="1:16" x14ac:dyDescent="0.2">
      <c r="A7" s="24" t="s">
        <v>69</v>
      </c>
      <c r="B7" s="24" t="s">
        <v>70</v>
      </c>
      <c r="C7" s="24" t="s">
        <v>283</v>
      </c>
      <c r="D7" s="132" t="s">
        <v>55</v>
      </c>
      <c r="E7" s="62"/>
      <c r="F7" s="62"/>
      <c r="G7" s="62"/>
      <c r="H7" s="62"/>
      <c r="K7" s="7" t="s">
        <v>18</v>
      </c>
      <c r="L7" s="32"/>
      <c r="M7" s="44"/>
      <c r="N7" s="129"/>
    </row>
    <row r="8" spans="1:16" x14ac:dyDescent="0.2">
      <c r="K8" s="19" t="s">
        <v>19</v>
      </c>
      <c r="L8" s="20"/>
      <c r="M8" s="45"/>
      <c r="N8" s="130"/>
    </row>
    <row r="10" spans="1:16" ht="40" customHeight="1" x14ac:dyDescent="0.2">
      <c r="A10" s="147" t="s">
        <v>340</v>
      </c>
      <c r="B10" s="147"/>
      <c r="C10" s="147"/>
      <c r="D10" s="147"/>
      <c r="E10" s="147"/>
      <c r="F10" s="147"/>
      <c r="G10" s="147"/>
      <c r="H10" s="147"/>
      <c r="I10" s="147"/>
      <c r="J10" s="147"/>
      <c r="K10" s="147"/>
      <c r="L10" s="147"/>
      <c r="M10" s="147"/>
      <c r="N10" s="147"/>
      <c r="O10" s="147"/>
      <c r="P10" s="147"/>
    </row>
    <row r="12" spans="1:16" x14ac:dyDescent="0.2">
      <c r="A12" s="153" t="s">
        <v>299</v>
      </c>
      <c r="B12" s="153"/>
      <c r="C12" s="153"/>
      <c r="D12" s="153"/>
      <c r="E12" s="153"/>
      <c r="F12" s="153"/>
      <c r="G12" s="153"/>
      <c r="H12" s="153"/>
      <c r="I12" s="153"/>
      <c r="J12" s="153"/>
      <c r="K12" s="153"/>
      <c r="L12" s="153"/>
      <c r="M12" s="153"/>
      <c r="N12" s="153"/>
      <c r="O12" s="153"/>
      <c r="P12" s="153"/>
    </row>
    <row r="13" spans="1:16" x14ac:dyDescent="0.2">
      <c r="B13" t="s">
        <v>65</v>
      </c>
      <c r="C13" s="62" t="s">
        <v>190</v>
      </c>
      <c r="D13" t="s">
        <v>66</v>
      </c>
      <c r="E13" t="s">
        <v>334</v>
      </c>
      <c r="F13" t="s">
        <v>335</v>
      </c>
      <c r="G13" t="s">
        <v>336</v>
      </c>
      <c r="H13" t="s">
        <v>33</v>
      </c>
      <c r="K13" s="2" t="s">
        <v>8</v>
      </c>
      <c r="L13" s="3" t="s">
        <v>9</v>
      </c>
      <c r="M13" s="40" t="s">
        <v>339</v>
      </c>
      <c r="N13" s="40" t="s">
        <v>284</v>
      </c>
    </row>
    <row r="14" spans="1:16" x14ac:dyDescent="0.2">
      <c r="A14" s="24" t="s">
        <v>337</v>
      </c>
      <c r="B14" s="24" t="s">
        <v>67</v>
      </c>
      <c r="C14" s="141" t="s">
        <v>279</v>
      </c>
      <c r="D14" s="132">
        <v>0.92188999999999999</v>
      </c>
      <c r="E14" s="76" t="s">
        <v>12</v>
      </c>
      <c r="F14" s="77">
        <v>1.6787683405633375E-4</v>
      </c>
      <c r="G14" s="77">
        <v>2.6795645783482503E-4</v>
      </c>
      <c r="H14" s="77">
        <v>6.3099821262184593E-4</v>
      </c>
      <c r="K14" s="7" t="s">
        <v>13</v>
      </c>
      <c r="L14" s="8">
        <f>AVERAGE(E17:G17)</f>
        <v>1.1359251668624596E-2</v>
      </c>
      <c r="M14" s="41">
        <f>AVERAGE(E16:F16)</f>
        <v>1.9199299285356229E-3</v>
      </c>
      <c r="N14" s="128">
        <f>E15</f>
        <v>8.2218546703085856E-4</v>
      </c>
      <c r="O14">
        <f>M14/L14</f>
        <v>0.16901905024594743</v>
      </c>
      <c r="P14">
        <f>N14/L14</f>
        <v>7.2380249246683931E-2</v>
      </c>
    </row>
    <row r="15" spans="1:16" x14ac:dyDescent="0.2">
      <c r="A15" s="24" t="s">
        <v>338</v>
      </c>
      <c r="B15" s="24" t="s">
        <v>67</v>
      </c>
      <c r="C15" s="141" t="s">
        <v>280</v>
      </c>
      <c r="D15" s="132">
        <v>0.62224999999999997</v>
      </c>
      <c r="E15" s="76">
        <v>8.2218546703085856E-4</v>
      </c>
      <c r="F15" s="77" t="s">
        <v>12</v>
      </c>
      <c r="G15" s="77">
        <v>2.4491402106544897E-4</v>
      </c>
      <c r="H15" s="77">
        <v>6.290804002522161E-4</v>
      </c>
      <c r="K15" s="7" t="s">
        <v>14</v>
      </c>
      <c r="L15" s="8">
        <v>6</v>
      </c>
      <c r="M15" s="42">
        <f>M14/(2*M16)</f>
        <v>0.95589796326108634</v>
      </c>
      <c r="N15" s="131">
        <f>N14/(N16*2)</f>
        <v>0.43428149548010359</v>
      </c>
    </row>
    <row r="16" spans="1:16" x14ac:dyDescent="0.2">
      <c r="A16" s="24" t="s">
        <v>336</v>
      </c>
      <c r="B16" s="24" t="s">
        <v>67</v>
      </c>
      <c r="C16" s="141" t="s">
        <v>281</v>
      </c>
      <c r="D16" s="132">
        <v>0.77678000000000003</v>
      </c>
      <c r="E16" s="76">
        <v>2.0916209163144481E-3</v>
      </c>
      <c r="F16" s="76">
        <v>1.7482389407567976E-3</v>
      </c>
      <c r="G16" s="77" t="s">
        <v>12</v>
      </c>
      <c r="H16" s="77">
        <v>6.2410668350284854E-4</v>
      </c>
      <c r="K16" s="7" t="s">
        <v>15</v>
      </c>
      <c r="L16" s="10">
        <f>L14/(2*L15)</f>
        <v>9.4660430571871627E-4</v>
      </c>
      <c r="M16" s="43">
        <f>$L$5</f>
        <v>1.0042546392638502E-3</v>
      </c>
      <c r="N16" s="41">
        <f>L16</f>
        <v>9.4660430571871627E-4</v>
      </c>
    </row>
    <row r="17" spans="1:16" x14ac:dyDescent="0.2">
      <c r="A17" s="24" t="s">
        <v>33</v>
      </c>
      <c r="B17" s="24" t="s">
        <v>40</v>
      </c>
      <c r="C17" s="24" t="s">
        <v>282</v>
      </c>
      <c r="D17" s="132" t="s">
        <v>55</v>
      </c>
      <c r="E17" s="76">
        <v>1.1463783042939638E-2</v>
      </c>
      <c r="F17" s="76">
        <v>1.1394397688455175E-2</v>
      </c>
      <c r="G17" s="76">
        <v>1.1219574274478976E-2</v>
      </c>
      <c r="H17" s="77" t="s">
        <v>12</v>
      </c>
      <c r="K17" s="14" t="s">
        <v>17</v>
      </c>
      <c r="L17" s="15"/>
      <c r="M17" s="46"/>
      <c r="N17" s="129"/>
      <c r="O17">
        <f>(AVERAGE(G14:G15))/L14</f>
        <v>2.2575011711241252E-2</v>
      </c>
      <c r="P17">
        <f>F14/L14</f>
        <v>1.4778863868297467E-2</v>
      </c>
    </row>
    <row r="18" spans="1:16" x14ac:dyDescent="0.2">
      <c r="A18" s="24" t="s">
        <v>69</v>
      </c>
      <c r="B18" s="24" t="s">
        <v>70</v>
      </c>
      <c r="C18" s="24" t="s">
        <v>283</v>
      </c>
      <c r="D18" s="132" t="s">
        <v>55</v>
      </c>
      <c r="E18" s="62"/>
      <c r="F18" s="62"/>
      <c r="G18" s="62"/>
      <c r="H18" s="62"/>
      <c r="K18" s="7" t="s">
        <v>18</v>
      </c>
      <c r="L18" s="32"/>
      <c r="M18" s="44"/>
      <c r="N18" s="129"/>
    </row>
    <row r="19" spans="1:16" x14ac:dyDescent="0.2">
      <c r="K19" s="19" t="s">
        <v>19</v>
      </c>
      <c r="L19" s="20"/>
      <c r="M19" s="45"/>
      <c r="N19" s="130"/>
    </row>
    <row r="21" spans="1:16" ht="40" customHeight="1" x14ac:dyDescent="0.2">
      <c r="A21" s="147" t="s">
        <v>341</v>
      </c>
      <c r="B21" s="147"/>
      <c r="C21" s="147"/>
      <c r="D21" s="147"/>
      <c r="E21" s="147"/>
      <c r="F21" s="147"/>
      <c r="G21" s="147"/>
      <c r="H21" s="147"/>
      <c r="I21" s="147"/>
      <c r="J21" s="147"/>
      <c r="K21" s="147"/>
      <c r="L21" s="147"/>
      <c r="M21" s="147"/>
      <c r="N21" s="147"/>
      <c r="O21" s="147"/>
      <c r="P21" s="147"/>
    </row>
  </sheetData>
  <mergeCells count="4">
    <mergeCell ref="A1:P1"/>
    <mergeCell ref="A10:P10"/>
    <mergeCell ref="A12:P12"/>
    <mergeCell ref="A21:P21"/>
  </mergeCells>
  <pageMargins left="0.75" right="0.75" top="1" bottom="1" header="0.5" footer="0.5"/>
  <pageSetup orientation="portrait" horizontalDpi="4294967292" verticalDpi="429496729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topLeftCell="A14" workbookViewId="0">
      <selection activeCell="A5" sqref="A5"/>
    </sheetView>
  </sheetViews>
  <sheetFormatPr baseColWidth="10" defaultRowHeight="14" x14ac:dyDescent="0.15"/>
  <cols>
    <col min="1" max="1" width="7.1640625" style="78" bestFit="1" customWidth="1"/>
    <col min="2" max="2" width="12.1640625" style="78" bestFit="1" customWidth="1"/>
    <col min="3" max="3" width="24.6640625" style="78" bestFit="1" customWidth="1"/>
    <col min="4" max="4" width="17.33203125" style="78" customWidth="1"/>
    <col min="5" max="5" width="9.6640625" style="78" bestFit="1" customWidth="1"/>
    <col min="6" max="6" width="9.5" style="78" bestFit="1" customWidth="1"/>
    <col min="7" max="7" width="11" style="78" bestFit="1" customWidth="1"/>
    <col min="8" max="8" width="10.83203125" style="78"/>
    <col min="9" max="10" width="18" style="78" bestFit="1" customWidth="1"/>
    <col min="11" max="11" width="13" style="78" bestFit="1" customWidth="1"/>
    <col min="12" max="12" width="8.5" style="78" bestFit="1" customWidth="1"/>
    <col min="13" max="13" width="11" style="78" bestFit="1" customWidth="1"/>
    <col min="14" max="16384" width="10.83203125" style="78"/>
  </cols>
  <sheetData>
    <row r="1" spans="1:14" x14ac:dyDescent="0.15">
      <c r="A1" s="152" t="s">
        <v>152</v>
      </c>
      <c r="B1" s="152"/>
      <c r="C1" s="152"/>
      <c r="D1" s="152"/>
      <c r="E1" s="152"/>
      <c r="F1" s="152"/>
      <c r="G1" s="152"/>
      <c r="H1" s="152"/>
      <c r="I1" s="152"/>
      <c r="J1" s="152"/>
      <c r="K1" s="152"/>
      <c r="L1" s="152"/>
      <c r="M1" s="152"/>
      <c r="N1" s="102"/>
    </row>
    <row r="2" spans="1:14" x14ac:dyDescent="0.15">
      <c r="A2" s="78" t="s">
        <v>0</v>
      </c>
      <c r="B2" s="79" t="s">
        <v>37</v>
      </c>
      <c r="C2" s="80" t="s">
        <v>138</v>
      </c>
      <c r="D2" s="79" t="s">
        <v>133</v>
      </c>
      <c r="E2" s="81" t="s">
        <v>48</v>
      </c>
      <c r="F2" s="81" t="s">
        <v>49</v>
      </c>
      <c r="G2" s="81" t="s">
        <v>50</v>
      </c>
    </row>
    <row r="3" spans="1:14" x14ac:dyDescent="0.15">
      <c r="A3" s="81" t="s">
        <v>48</v>
      </c>
      <c r="B3" s="82" t="s">
        <v>146</v>
      </c>
      <c r="C3" s="78" t="s">
        <v>134</v>
      </c>
      <c r="D3" s="78">
        <v>2.6380000000000001E-2</v>
      </c>
      <c r="E3" s="83" t="s">
        <v>12</v>
      </c>
      <c r="F3" s="84">
        <v>3.444394370279764E-4</v>
      </c>
      <c r="G3" s="84">
        <v>3.2973024828951512E-4</v>
      </c>
      <c r="I3" s="78" t="s">
        <v>140</v>
      </c>
    </row>
    <row r="4" spans="1:14" x14ac:dyDescent="0.15">
      <c r="A4" s="81" t="s">
        <v>49</v>
      </c>
      <c r="B4" s="82" t="s">
        <v>146</v>
      </c>
      <c r="C4" s="78" t="s">
        <v>135</v>
      </c>
      <c r="D4" s="78">
        <v>4.6920000000000003E-2</v>
      </c>
      <c r="E4" s="83">
        <v>9.8371704561942466E-3</v>
      </c>
      <c r="F4" s="84" t="s">
        <v>12</v>
      </c>
      <c r="G4" s="84">
        <v>3.778293709921472E-4</v>
      </c>
    </row>
    <row r="5" spans="1:14" x14ac:dyDescent="0.15">
      <c r="A5" s="81" t="s">
        <v>50</v>
      </c>
      <c r="B5" s="82" t="s">
        <v>38</v>
      </c>
      <c r="C5" s="78" t="s">
        <v>136</v>
      </c>
      <c r="E5" s="83">
        <v>9.0269840178039025E-3</v>
      </c>
      <c r="F5" s="83">
        <v>1.1809377576638278E-2</v>
      </c>
      <c r="G5" s="84" t="s">
        <v>12</v>
      </c>
    </row>
    <row r="6" spans="1:14" x14ac:dyDescent="0.15">
      <c r="A6" s="78" t="s">
        <v>81</v>
      </c>
      <c r="B6" s="78" t="s">
        <v>70</v>
      </c>
      <c r="C6" s="78" t="s">
        <v>137</v>
      </c>
    </row>
    <row r="7" spans="1:14" x14ac:dyDescent="0.15">
      <c r="A7" s="81"/>
      <c r="B7" s="81"/>
      <c r="C7" s="81"/>
      <c r="D7" s="85"/>
    </row>
    <row r="8" spans="1:14" ht="57" customHeight="1" x14ac:dyDescent="0.15">
      <c r="A8" s="151" t="s">
        <v>139</v>
      </c>
      <c r="B8" s="151"/>
      <c r="C8" s="151"/>
      <c r="D8" s="151"/>
      <c r="E8" s="151"/>
      <c r="F8" s="151"/>
      <c r="G8" s="151"/>
      <c r="H8" s="151"/>
      <c r="I8" s="151"/>
      <c r="J8" s="151"/>
      <c r="K8" s="151"/>
      <c r="L8" s="151"/>
      <c r="M8" s="151"/>
      <c r="N8" s="103"/>
    </row>
    <row r="34" spans="1:13" x14ac:dyDescent="0.15">
      <c r="A34" s="152" t="s">
        <v>151</v>
      </c>
      <c r="B34" s="152"/>
      <c r="C34" s="152"/>
      <c r="D34" s="152"/>
      <c r="E34" s="152"/>
      <c r="F34" s="152"/>
      <c r="G34" s="152"/>
      <c r="H34" s="152"/>
      <c r="I34" s="152"/>
      <c r="J34" s="152"/>
      <c r="K34" s="152"/>
      <c r="L34" s="152"/>
      <c r="M34" s="152"/>
    </row>
    <row r="35" spans="1:13" x14ac:dyDescent="0.15">
      <c r="A35" s="78" t="s">
        <v>0</v>
      </c>
      <c r="B35" s="79" t="s">
        <v>37</v>
      </c>
      <c r="C35" s="80" t="s">
        <v>138</v>
      </c>
      <c r="D35" s="79" t="s">
        <v>133</v>
      </c>
      <c r="E35" s="81" t="s">
        <v>48</v>
      </c>
      <c r="F35" s="81" t="s">
        <v>49</v>
      </c>
      <c r="G35" s="81" t="s">
        <v>50</v>
      </c>
      <c r="J35" s="86" t="s">
        <v>8</v>
      </c>
      <c r="K35" s="87" t="s">
        <v>9</v>
      </c>
      <c r="L35" s="88" t="s">
        <v>35</v>
      </c>
    </row>
    <row r="36" spans="1:13" x14ac:dyDescent="0.15">
      <c r="A36" s="81" t="s">
        <v>48</v>
      </c>
      <c r="B36" s="82" t="s">
        <v>146</v>
      </c>
      <c r="C36" s="78" t="s">
        <v>141</v>
      </c>
      <c r="D36" s="78">
        <v>0.10326</v>
      </c>
      <c r="E36" s="104" t="s">
        <v>12</v>
      </c>
      <c r="F36" s="105">
        <v>2.9674126910807366E-4</v>
      </c>
      <c r="G36" s="105">
        <v>3.3776163134344585E-4</v>
      </c>
      <c r="H36" s="104"/>
      <c r="J36" s="89" t="s">
        <v>13</v>
      </c>
      <c r="K36" s="90">
        <f>AVERAGE(E38:F38)</f>
        <v>8.787547810503938E-3</v>
      </c>
      <c r="L36" s="91">
        <f>E37</f>
        <v>6.819170972101613E-3</v>
      </c>
      <c r="M36" s="78">
        <f>L36/K36</f>
        <v>0.77600385444850917</v>
      </c>
    </row>
    <row r="37" spans="1:13" x14ac:dyDescent="0.15">
      <c r="A37" s="81" t="s">
        <v>49</v>
      </c>
      <c r="B37" s="82" t="s">
        <v>146</v>
      </c>
      <c r="C37" s="78" t="s">
        <v>142</v>
      </c>
      <c r="D37" s="78">
        <v>5.4859999999999999E-2</v>
      </c>
      <c r="E37" s="104">
        <v>6.819170972101613E-3</v>
      </c>
      <c r="F37" s="104" t="s">
        <v>12</v>
      </c>
      <c r="G37" s="105">
        <v>3.3675804906381588E-4</v>
      </c>
      <c r="H37" s="104"/>
      <c r="J37" s="89" t="s">
        <v>14</v>
      </c>
      <c r="K37" s="90">
        <v>6</v>
      </c>
      <c r="L37" s="92">
        <f>L36/(2*L38)</f>
        <v>4.6560231266910552</v>
      </c>
    </row>
    <row r="38" spans="1:13" x14ac:dyDescent="0.15">
      <c r="A38" s="81" t="s">
        <v>50</v>
      </c>
      <c r="B38" s="82" t="s">
        <v>38</v>
      </c>
      <c r="C38" s="78" t="s">
        <v>143</v>
      </c>
      <c r="E38" s="104">
        <v>8.8134688025169744E-3</v>
      </c>
      <c r="F38" s="104">
        <v>8.7616268184908998E-3</v>
      </c>
      <c r="G38" s="104" t="s">
        <v>12</v>
      </c>
      <c r="H38" s="104"/>
      <c r="J38" s="89" t="s">
        <v>15</v>
      </c>
      <c r="K38" s="93">
        <f>K36/(2*K37)</f>
        <v>7.3229565087532813E-4</v>
      </c>
      <c r="L38" s="91">
        <f>$K38</f>
        <v>7.3229565087532813E-4</v>
      </c>
    </row>
    <row r="39" spans="1:13" x14ac:dyDescent="0.15">
      <c r="A39" s="78" t="s">
        <v>81</v>
      </c>
      <c r="B39" s="78" t="s">
        <v>70</v>
      </c>
      <c r="C39" s="78" t="s">
        <v>144</v>
      </c>
      <c r="J39" s="94" t="s">
        <v>17</v>
      </c>
      <c r="K39" s="95"/>
      <c r="L39" s="96"/>
    </row>
    <row r="40" spans="1:13" x14ac:dyDescent="0.15">
      <c r="A40" s="81"/>
      <c r="B40" s="81"/>
      <c r="C40" s="81"/>
      <c r="D40" s="85"/>
      <c r="J40" s="89" t="s">
        <v>18</v>
      </c>
      <c r="K40" s="97"/>
      <c r="L40" s="98">
        <f>(E37+F36)/(2*L38)</f>
        <v>4.8586334171887335</v>
      </c>
      <c r="M40" s="78">
        <f>F36/K36</f>
        <v>3.3768381749613094E-2</v>
      </c>
    </row>
    <row r="41" spans="1:13" x14ac:dyDescent="0.15">
      <c r="A41" s="81"/>
      <c r="B41" s="81"/>
      <c r="C41" s="81"/>
      <c r="D41" s="85"/>
      <c r="J41" s="99" t="s">
        <v>19</v>
      </c>
      <c r="K41" s="100"/>
      <c r="L41" s="101">
        <f>(E37-F36)/(2*L38)</f>
        <v>4.453412836193376</v>
      </c>
    </row>
    <row r="42" spans="1:13" x14ac:dyDescent="0.15">
      <c r="A42" s="81"/>
      <c r="B42" s="81"/>
      <c r="C42" s="81"/>
      <c r="D42" s="81"/>
    </row>
    <row r="43" spans="1:13" ht="45" customHeight="1" x14ac:dyDescent="0.15">
      <c r="A43" s="151" t="s">
        <v>145</v>
      </c>
      <c r="B43" s="151"/>
      <c r="C43" s="151"/>
      <c r="D43" s="151"/>
      <c r="E43" s="151"/>
      <c r="F43" s="151"/>
      <c r="G43" s="151"/>
      <c r="H43" s="151"/>
      <c r="I43" s="151"/>
      <c r="J43" s="151"/>
      <c r="K43" s="151"/>
    </row>
  </sheetData>
  <mergeCells count="4">
    <mergeCell ref="A43:K43"/>
    <mergeCell ref="A34:M34"/>
    <mergeCell ref="A1:M1"/>
    <mergeCell ref="A8:M8"/>
  </mergeCells>
  <pageMargins left="0.75" right="0.75" top="1" bottom="1" header="0.5" footer="0.5"/>
  <pageSetup orientation="portrait" horizontalDpi="4294967292" verticalDpi="429496729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topLeftCell="A14" workbookViewId="0">
      <selection activeCell="S37" sqref="S37"/>
    </sheetView>
  </sheetViews>
  <sheetFormatPr baseColWidth="10" defaultRowHeight="16" x14ac:dyDescent="0.2"/>
  <cols>
    <col min="1" max="1" width="13.83203125" customWidth="1"/>
    <col min="2" max="2" width="13.6640625" bestFit="1" customWidth="1"/>
    <col min="3" max="3" width="24.1640625" bestFit="1" customWidth="1"/>
    <col min="4" max="4" width="17.33203125" bestFit="1" customWidth="1"/>
    <col min="5" max="5" width="10.6640625" customWidth="1"/>
    <col min="11" max="14" width="17" customWidth="1"/>
  </cols>
  <sheetData>
    <row r="1" spans="1:16" x14ac:dyDescent="0.2">
      <c r="A1" s="153" t="s">
        <v>155</v>
      </c>
      <c r="B1" s="153"/>
      <c r="C1" s="153"/>
      <c r="D1" s="153"/>
      <c r="E1" s="153"/>
      <c r="F1" s="153"/>
      <c r="G1" s="153"/>
      <c r="H1" s="153"/>
      <c r="I1" s="153"/>
      <c r="J1" s="153"/>
      <c r="K1" s="153"/>
      <c r="L1" s="153"/>
      <c r="M1" s="153"/>
      <c r="N1" s="153"/>
      <c r="O1" s="153"/>
      <c r="P1" s="153"/>
    </row>
    <row r="2" spans="1:16" x14ac:dyDescent="0.2">
      <c r="A2" s="78" t="s">
        <v>0</v>
      </c>
      <c r="B2" s="79" t="s">
        <v>37</v>
      </c>
      <c r="C2" s="80" t="s">
        <v>138</v>
      </c>
      <c r="D2" s="79" t="s">
        <v>133</v>
      </c>
      <c r="E2" s="81" t="s">
        <v>48</v>
      </c>
      <c r="F2" s="81" t="s">
        <v>60</v>
      </c>
      <c r="G2" t="s">
        <v>61</v>
      </c>
      <c r="H2" s="81" t="s">
        <v>50</v>
      </c>
    </row>
    <row r="3" spans="1:16" x14ac:dyDescent="0.2">
      <c r="A3" s="24" t="s">
        <v>56</v>
      </c>
      <c r="B3" s="24" t="s">
        <v>54</v>
      </c>
      <c r="C3" t="s">
        <v>148</v>
      </c>
      <c r="D3" t="s">
        <v>16</v>
      </c>
      <c r="E3" s="76" t="s">
        <v>12</v>
      </c>
      <c r="F3" s="77">
        <v>2.3495784243303034E-4</v>
      </c>
      <c r="G3" s="77">
        <v>2.4482952977753294E-4</v>
      </c>
      <c r="H3" s="77">
        <v>2.8401747726109779E-4</v>
      </c>
    </row>
    <row r="4" spans="1:16" x14ac:dyDescent="0.2">
      <c r="A4" s="24" t="s">
        <v>57</v>
      </c>
      <c r="B4" s="24" t="s">
        <v>54</v>
      </c>
      <c r="C4" t="s">
        <v>149</v>
      </c>
      <c r="D4" t="s">
        <v>16</v>
      </c>
      <c r="E4" s="76">
        <v>9.1505996413670798E-3</v>
      </c>
      <c r="F4" s="77" t="s">
        <v>12</v>
      </c>
      <c r="G4" s="77">
        <v>2.5166683169759941E-4</v>
      </c>
      <c r="H4" s="77">
        <v>2.9673469899717573E-4</v>
      </c>
    </row>
    <row r="5" spans="1:16" x14ac:dyDescent="0.2">
      <c r="A5" s="24" t="s">
        <v>58</v>
      </c>
      <c r="B5" s="24" t="s">
        <v>54</v>
      </c>
      <c r="C5" t="s">
        <v>150</v>
      </c>
      <c r="D5" t="s">
        <v>16</v>
      </c>
      <c r="E5" s="76">
        <v>9.9297004294244765E-3</v>
      </c>
      <c r="F5" s="76">
        <v>1.0481684939594515E-2</v>
      </c>
      <c r="G5" s="77" t="s">
        <v>12</v>
      </c>
      <c r="H5" s="77">
        <v>2.6802402056013791E-4</v>
      </c>
    </row>
    <row r="6" spans="1:16" x14ac:dyDescent="0.2">
      <c r="A6" s="24" t="s">
        <v>50</v>
      </c>
      <c r="B6" s="24" t="s">
        <v>38</v>
      </c>
      <c r="C6" t="s">
        <v>153</v>
      </c>
      <c r="D6" t="s">
        <v>16</v>
      </c>
      <c r="E6" s="76">
        <v>1.3303885338126575E-2</v>
      </c>
      <c r="F6" s="76">
        <v>1.4497938779120234E-2</v>
      </c>
      <c r="G6" s="76">
        <v>1.186967197294511E-2</v>
      </c>
      <c r="H6" s="77" t="s">
        <v>12</v>
      </c>
    </row>
    <row r="7" spans="1:16" x14ac:dyDescent="0.2">
      <c r="A7" s="24"/>
      <c r="B7" s="24"/>
      <c r="E7" s="76"/>
      <c r="F7" s="76"/>
      <c r="G7" s="76"/>
      <c r="H7" s="77"/>
    </row>
    <row r="8" spans="1:16" ht="34" customHeight="1" x14ac:dyDescent="0.2">
      <c r="A8" s="150" t="s">
        <v>154</v>
      </c>
      <c r="B8" s="150"/>
      <c r="C8" s="150"/>
      <c r="D8" s="150"/>
      <c r="E8" s="150"/>
      <c r="F8" s="150"/>
      <c r="G8" s="150"/>
      <c r="H8" s="150"/>
      <c r="I8" s="150"/>
      <c r="J8" s="150"/>
      <c r="K8" s="150"/>
      <c r="L8" s="150"/>
      <c r="M8" s="150"/>
      <c r="N8" s="150"/>
      <c r="O8" s="150"/>
      <c r="P8" s="150"/>
    </row>
    <row r="20" spans="1:16" x14ac:dyDescent="0.2">
      <c r="A20" t="s">
        <v>362</v>
      </c>
    </row>
    <row r="27" spans="1:16" x14ac:dyDescent="0.2">
      <c r="A27" s="153" t="s">
        <v>164</v>
      </c>
      <c r="B27" s="153"/>
      <c r="C27" s="153"/>
      <c r="D27" s="153"/>
      <c r="E27" s="153"/>
      <c r="F27" s="153"/>
      <c r="G27" s="153"/>
      <c r="H27" s="153"/>
      <c r="I27" s="153"/>
      <c r="J27" s="153"/>
      <c r="K27" s="153"/>
      <c r="L27" s="153"/>
      <c r="M27" s="153"/>
      <c r="N27" s="153"/>
      <c r="O27" s="153"/>
      <c r="P27" s="153"/>
    </row>
    <row r="28" spans="1:16" x14ac:dyDescent="0.2">
      <c r="B28" t="s">
        <v>37</v>
      </c>
      <c r="C28" t="s">
        <v>138</v>
      </c>
      <c r="D28" t="s">
        <v>126</v>
      </c>
      <c r="E28" t="s">
        <v>48</v>
      </c>
      <c r="F28" t="s">
        <v>60</v>
      </c>
      <c r="G28" t="s">
        <v>61</v>
      </c>
      <c r="H28" t="s">
        <v>43</v>
      </c>
      <c r="K28" s="2" t="s">
        <v>8</v>
      </c>
      <c r="L28" s="3" t="s">
        <v>9</v>
      </c>
      <c r="M28" s="3" t="s">
        <v>125</v>
      </c>
      <c r="N28" s="4" t="s">
        <v>62</v>
      </c>
      <c r="O28" s="107" t="s">
        <v>163</v>
      </c>
    </row>
    <row r="29" spans="1:16" x14ac:dyDescent="0.2">
      <c r="A29" s="24" t="s">
        <v>56</v>
      </c>
      <c r="B29" s="24" t="s">
        <v>54</v>
      </c>
      <c r="C29" s="24" t="s">
        <v>157</v>
      </c>
      <c r="D29" s="33">
        <v>0.22370000000000001</v>
      </c>
      <c r="E29" s="76" t="s">
        <v>12</v>
      </c>
      <c r="F29" s="77">
        <v>3.576069062786094E-4</v>
      </c>
      <c r="G29" s="77">
        <v>3.51925685718867E-4</v>
      </c>
      <c r="H29" s="77">
        <v>3.7597039024634288E-4</v>
      </c>
      <c r="K29" s="36" t="s">
        <v>13</v>
      </c>
      <c r="L29" s="37">
        <f>AVERAGE(E32:G32)</f>
        <v>1.0708603340629447E-2</v>
      </c>
      <c r="M29" s="37">
        <f>AVERAGE(E30:E31)</f>
        <v>8.9758689350694539E-3</v>
      </c>
      <c r="N29" s="38">
        <f>F31</f>
        <v>7.3203907426615386E-3</v>
      </c>
      <c r="O29">
        <f>(AVERAGE(E30:E31)/AVERAGE(E32:G32))</f>
        <v>0.83819230664881983</v>
      </c>
    </row>
    <row r="30" spans="1:16" x14ac:dyDescent="0.2">
      <c r="A30" s="24" t="s">
        <v>57</v>
      </c>
      <c r="B30" s="24" t="s">
        <v>54</v>
      </c>
      <c r="C30" s="24" t="s">
        <v>159</v>
      </c>
      <c r="D30" s="33">
        <v>0.38729999999999998</v>
      </c>
      <c r="E30" s="76">
        <v>9.1168056450955347E-3</v>
      </c>
      <c r="F30" s="77" t="s">
        <v>12</v>
      </c>
      <c r="G30" s="77">
        <v>3.2011442064016672E-4</v>
      </c>
      <c r="H30" s="77">
        <v>3.977949913733045E-4</v>
      </c>
      <c r="K30" s="7" t="s">
        <v>14</v>
      </c>
      <c r="L30" s="8">
        <v>6</v>
      </c>
      <c r="M30" s="11">
        <f>M29/(2*M31)</f>
        <v>5.0291538398929188</v>
      </c>
      <c r="N30" s="11">
        <f>N29/(2*N31)</f>
        <v>4.1015941163236223</v>
      </c>
    </row>
    <row r="31" spans="1:16" x14ac:dyDescent="0.2">
      <c r="A31" s="24" t="s">
        <v>58</v>
      </c>
      <c r="B31" s="24" t="s">
        <v>54</v>
      </c>
      <c r="C31" s="24" t="s">
        <v>158</v>
      </c>
      <c r="D31" s="33">
        <v>0.64102999999999999</v>
      </c>
      <c r="E31" s="76">
        <v>8.834932225043373E-3</v>
      </c>
      <c r="F31" s="76">
        <v>7.3203907426615386E-3</v>
      </c>
      <c r="G31" s="77" t="s">
        <v>12</v>
      </c>
      <c r="H31" s="77">
        <v>3.9001823727279305E-4</v>
      </c>
      <c r="K31" s="7" t="s">
        <v>15</v>
      </c>
      <c r="L31" s="10">
        <f>L29/(2*L30)</f>
        <v>8.9238361171912063E-4</v>
      </c>
      <c r="M31" s="13">
        <f>$L31</f>
        <v>8.9238361171912063E-4</v>
      </c>
      <c r="N31" s="13">
        <f>$L31</f>
        <v>8.9238361171912063E-4</v>
      </c>
    </row>
    <row r="32" spans="1:16" x14ac:dyDescent="0.2">
      <c r="A32" s="24" t="s">
        <v>59</v>
      </c>
      <c r="B32" s="24" t="s">
        <v>147</v>
      </c>
      <c r="C32" s="24" t="s">
        <v>160</v>
      </c>
      <c r="D32" s="24" t="s">
        <v>55</v>
      </c>
      <c r="E32" s="76">
        <v>1.0060777190381539E-2</v>
      </c>
      <c r="F32" s="76">
        <v>1.1244839859941319E-2</v>
      </c>
      <c r="G32" s="76">
        <v>1.0820192971565487E-2</v>
      </c>
      <c r="H32" s="77" t="s">
        <v>12</v>
      </c>
      <c r="K32" s="14" t="s">
        <v>17</v>
      </c>
      <c r="L32" s="15"/>
      <c r="M32" s="15"/>
      <c r="N32" s="16"/>
    </row>
    <row r="33" spans="1:16" ht="32" x14ac:dyDescent="0.2">
      <c r="A33" s="24" t="s">
        <v>156</v>
      </c>
      <c r="B33" s="24" t="s">
        <v>70</v>
      </c>
      <c r="C33" s="106" t="s">
        <v>161</v>
      </c>
      <c r="D33" s="24" t="s">
        <v>55</v>
      </c>
      <c r="E33" s="48"/>
      <c r="F33" s="48"/>
      <c r="G33" s="48"/>
      <c r="H33" s="48"/>
      <c r="K33" s="19" t="s">
        <v>63</v>
      </c>
      <c r="L33" s="47"/>
      <c r="M33" s="47">
        <f>AVERAGE(F29:G29)/(2*M31)</f>
        <v>0.198774546809137</v>
      </c>
      <c r="N33" s="22">
        <f>G30/(2*L31)</f>
        <v>0.17935919958429453</v>
      </c>
      <c r="O33">
        <f>AVERAGE(F29:G29)/AVERAGE(E32:G32)</f>
        <v>3.3129091134856167E-2</v>
      </c>
    </row>
    <row r="34" spans="1:16" ht="14" customHeight="1" x14ac:dyDescent="0.2"/>
    <row r="35" spans="1:16" ht="36" customHeight="1" x14ac:dyDescent="0.2">
      <c r="A35" s="147" t="s">
        <v>162</v>
      </c>
      <c r="B35" s="147"/>
      <c r="C35" s="147"/>
      <c r="D35" s="147"/>
      <c r="E35" s="147"/>
      <c r="F35" s="147"/>
      <c r="G35" s="147"/>
      <c r="H35" s="147"/>
      <c r="I35" s="147"/>
      <c r="J35" s="147"/>
      <c r="K35" s="147"/>
      <c r="L35" s="147"/>
      <c r="M35" s="147"/>
      <c r="N35" s="147"/>
      <c r="O35" s="147"/>
      <c r="P35" s="147"/>
    </row>
  </sheetData>
  <mergeCells count="4">
    <mergeCell ref="A1:P1"/>
    <mergeCell ref="A8:P8"/>
    <mergeCell ref="A27:P27"/>
    <mergeCell ref="A35:P35"/>
  </mergeCells>
  <pageMargins left="0.75" right="0.75" top="1" bottom="1" header="0.5" footer="0.5"/>
  <pageSetup orientation="portrait" horizontalDpi="4294967292" verticalDpi="429496729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workbookViewId="0">
      <selection activeCell="E39" sqref="E39"/>
    </sheetView>
  </sheetViews>
  <sheetFormatPr baseColWidth="10" defaultRowHeight="16" x14ac:dyDescent="0.2"/>
  <cols>
    <col min="2" max="2" width="22.1640625" customWidth="1"/>
    <col min="3" max="3" width="24" customWidth="1"/>
    <col min="4" max="4" width="13.33203125" customWidth="1"/>
    <col min="5" max="5" width="14" customWidth="1"/>
    <col min="6" max="6" width="12.6640625" customWidth="1"/>
    <col min="9" max="10" width="18" bestFit="1" customWidth="1"/>
    <col min="11" max="11" width="12.83203125" bestFit="1" customWidth="1"/>
    <col min="12" max="12" width="11" customWidth="1"/>
  </cols>
  <sheetData>
    <row r="1" spans="1:16" x14ac:dyDescent="0.2">
      <c r="A1" s="153" t="s">
        <v>165</v>
      </c>
      <c r="B1" s="153"/>
      <c r="C1" s="153"/>
      <c r="D1" s="153"/>
      <c r="E1" s="153"/>
      <c r="F1" s="153"/>
      <c r="G1" s="153"/>
      <c r="H1" s="153"/>
      <c r="I1" s="153"/>
      <c r="J1" s="153"/>
      <c r="K1" s="153"/>
      <c r="L1" s="153"/>
      <c r="M1" s="153"/>
      <c r="N1" s="153"/>
      <c r="O1" s="153"/>
      <c r="P1" s="153"/>
    </row>
    <row r="2" spans="1:16" x14ac:dyDescent="0.2">
      <c r="A2" t="s">
        <v>0</v>
      </c>
      <c r="B2" s="1" t="s">
        <v>37</v>
      </c>
      <c r="C2" s="1" t="s">
        <v>171</v>
      </c>
      <c r="D2" s="1" t="s">
        <v>47</v>
      </c>
      <c r="E2" s="24" t="s">
        <v>48</v>
      </c>
      <c r="F2" s="24" t="s">
        <v>49</v>
      </c>
      <c r="G2" s="24" t="s">
        <v>33</v>
      </c>
    </row>
    <row r="3" spans="1:16" ht="17" x14ac:dyDescent="0.2">
      <c r="A3" s="24" t="s">
        <v>48</v>
      </c>
      <c r="B3" s="30" t="s">
        <v>183</v>
      </c>
      <c r="C3" s="108" t="s">
        <v>167</v>
      </c>
      <c r="D3" s="49">
        <v>0.28699000000000002</v>
      </c>
      <c r="E3" s="76" t="s">
        <v>12</v>
      </c>
      <c r="F3" s="77">
        <v>5.8330934253573465E-4</v>
      </c>
      <c r="G3" s="77">
        <v>5.5870404492694284E-4</v>
      </c>
    </row>
    <row r="4" spans="1:16" ht="17" x14ac:dyDescent="0.2">
      <c r="A4" s="24" t="s">
        <v>49</v>
      </c>
      <c r="B4" s="30" t="s">
        <v>170</v>
      </c>
      <c r="C4" s="30" t="s">
        <v>169</v>
      </c>
      <c r="D4" s="49">
        <v>1.439E-2</v>
      </c>
      <c r="E4" s="76">
        <v>1.3167296639435519E-2</v>
      </c>
      <c r="F4" s="77" t="s">
        <v>12</v>
      </c>
      <c r="G4" s="77">
        <v>6.3020935444569432E-4</v>
      </c>
    </row>
    <row r="5" spans="1:16" x14ac:dyDescent="0.2">
      <c r="A5" s="24" t="s">
        <v>33</v>
      </c>
      <c r="B5" s="61" t="s">
        <v>40</v>
      </c>
      <c r="C5" s="30" t="s">
        <v>16</v>
      </c>
      <c r="E5" s="76">
        <v>1.2083674724405122E-2</v>
      </c>
      <c r="F5" s="76">
        <v>1.5323738034457522E-2</v>
      </c>
      <c r="G5" s="77" t="s">
        <v>12</v>
      </c>
    </row>
    <row r="6" spans="1:16" x14ac:dyDescent="0.2">
      <c r="A6" s="24" t="s">
        <v>69</v>
      </c>
      <c r="B6" s="30" t="s">
        <v>70</v>
      </c>
      <c r="C6" s="30" t="s">
        <v>168</v>
      </c>
    </row>
    <row r="7" spans="1:16" x14ac:dyDescent="0.2">
      <c r="A7" s="24"/>
      <c r="B7" s="24"/>
      <c r="C7" s="27"/>
      <c r="D7" s="27"/>
    </row>
    <row r="8" spans="1:16" x14ac:dyDescent="0.2">
      <c r="A8" s="24"/>
      <c r="B8" s="24"/>
      <c r="C8" s="24"/>
      <c r="D8" s="27"/>
    </row>
    <row r="9" spans="1:16" x14ac:dyDescent="0.2">
      <c r="A9" s="24"/>
      <c r="B9" s="24"/>
      <c r="C9" s="24"/>
      <c r="D9" s="24"/>
    </row>
    <row r="10" spans="1:16" ht="65" customHeight="1" x14ac:dyDescent="0.2">
      <c r="A10" s="147" t="s">
        <v>166</v>
      </c>
      <c r="B10" s="147"/>
      <c r="C10" s="147"/>
      <c r="D10" s="147"/>
      <c r="E10" s="147"/>
      <c r="F10" s="147"/>
      <c r="G10" s="147"/>
      <c r="H10" s="147"/>
      <c r="I10" s="147"/>
      <c r="J10" s="147"/>
      <c r="K10" s="147"/>
      <c r="L10" s="147"/>
    </row>
    <row r="11" spans="1:16" x14ac:dyDescent="0.2">
      <c r="A11" s="63"/>
      <c r="B11" s="63"/>
      <c r="C11" s="63"/>
      <c r="D11" s="63"/>
      <c r="E11" s="63"/>
      <c r="F11" s="63"/>
      <c r="G11" s="63"/>
      <c r="H11" s="63"/>
      <c r="I11" s="63"/>
      <c r="J11" s="63"/>
      <c r="K11" s="63"/>
      <c r="L11" s="63"/>
    </row>
    <row r="12" spans="1:16" x14ac:dyDescent="0.2">
      <c r="A12" s="63"/>
      <c r="B12" s="63"/>
      <c r="C12" s="63"/>
      <c r="D12" s="63"/>
      <c r="E12" s="63"/>
      <c r="F12" s="63"/>
      <c r="G12" s="63"/>
      <c r="H12" s="63"/>
      <c r="I12" s="63"/>
      <c r="J12" s="63"/>
      <c r="K12" s="63"/>
      <c r="L12" s="63"/>
    </row>
    <row r="13" spans="1:16" x14ac:dyDescent="0.2">
      <c r="A13" s="63"/>
      <c r="B13" s="63"/>
      <c r="C13" s="63"/>
      <c r="D13" s="63"/>
      <c r="E13" s="63"/>
      <c r="F13" s="63"/>
      <c r="G13" s="63"/>
      <c r="H13" s="63"/>
      <c r="I13" s="63"/>
      <c r="J13" s="63"/>
      <c r="K13" s="63"/>
      <c r="L13" s="63"/>
    </row>
    <row r="14" spans="1:16" x14ac:dyDescent="0.2">
      <c r="A14" s="63"/>
      <c r="B14" s="63"/>
      <c r="C14" s="63"/>
      <c r="D14" s="63"/>
      <c r="E14" s="63"/>
      <c r="F14" s="63"/>
      <c r="G14" s="63"/>
      <c r="H14" s="63"/>
      <c r="I14" s="63"/>
      <c r="J14" s="63"/>
      <c r="K14" s="63"/>
      <c r="L14" s="63"/>
    </row>
    <row r="15" spans="1:16" x14ac:dyDescent="0.2">
      <c r="A15" s="63"/>
      <c r="B15" s="63"/>
      <c r="C15" s="63"/>
      <c r="D15" s="63"/>
      <c r="E15" s="63"/>
      <c r="F15" s="63"/>
      <c r="G15" s="63"/>
      <c r="H15" s="63"/>
      <c r="I15" s="63"/>
      <c r="J15" s="63"/>
      <c r="K15" s="63"/>
      <c r="L15" s="63"/>
    </row>
    <row r="16" spans="1:16" x14ac:dyDescent="0.2">
      <c r="A16" s="63"/>
      <c r="B16" s="63"/>
      <c r="C16" s="63"/>
      <c r="D16" s="63"/>
      <c r="E16" s="63"/>
      <c r="F16" s="63"/>
      <c r="G16" s="63"/>
      <c r="H16" s="63"/>
      <c r="I16" s="63"/>
      <c r="J16" s="63"/>
      <c r="K16" s="63"/>
      <c r="L16" s="63"/>
    </row>
    <row r="17" spans="1:12" x14ac:dyDescent="0.2">
      <c r="A17" s="63"/>
      <c r="B17" s="63"/>
      <c r="C17" s="63"/>
      <c r="D17" s="63"/>
      <c r="E17" s="63"/>
      <c r="F17" s="63"/>
      <c r="G17" s="63"/>
      <c r="H17" s="63"/>
      <c r="I17" s="63"/>
      <c r="J17" s="63"/>
      <c r="K17" s="63"/>
      <c r="L17" s="63"/>
    </row>
    <row r="18" spans="1:12" x14ac:dyDescent="0.2">
      <c r="A18" s="63"/>
      <c r="B18" s="63"/>
      <c r="C18" s="63"/>
      <c r="D18" s="63"/>
      <c r="E18" s="63"/>
      <c r="F18" s="63"/>
      <c r="G18" s="63"/>
      <c r="H18" s="63"/>
      <c r="I18" s="63"/>
      <c r="J18" s="63"/>
      <c r="K18" s="63"/>
      <c r="L18" s="63"/>
    </row>
    <row r="19" spans="1:12" x14ac:dyDescent="0.2">
      <c r="A19" s="63"/>
      <c r="B19" s="63"/>
      <c r="C19" s="63"/>
      <c r="D19" s="63"/>
      <c r="E19" s="63"/>
      <c r="F19" s="63"/>
      <c r="G19" s="63"/>
      <c r="H19" s="63"/>
      <c r="I19" s="63"/>
      <c r="J19" s="63"/>
      <c r="K19" s="63"/>
      <c r="L19" s="63"/>
    </row>
    <row r="20" spans="1:12" x14ac:dyDescent="0.2">
      <c r="A20" s="63"/>
      <c r="B20" s="63"/>
      <c r="C20" s="63"/>
      <c r="D20" s="63"/>
      <c r="E20" s="63"/>
      <c r="F20" s="63"/>
      <c r="G20" s="63"/>
      <c r="H20" s="63"/>
      <c r="I20" s="63"/>
      <c r="J20" s="63"/>
      <c r="K20" s="63"/>
      <c r="L20" s="63"/>
    </row>
    <row r="21" spans="1:12" x14ac:dyDescent="0.2">
      <c r="A21" s="63"/>
      <c r="B21" s="63"/>
      <c r="C21" s="63"/>
      <c r="D21" s="63"/>
      <c r="E21" s="63"/>
      <c r="F21" s="63"/>
      <c r="G21" s="63"/>
      <c r="H21" s="63"/>
      <c r="I21" s="63"/>
      <c r="J21" s="63"/>
      <c r="K21" s="63"/>
      <c r="L21" s="63"/>
    </row>
    <row r="22" spans="1:12" ht="29" customHeight="1" x14ac:dyDescent="0.2">
      <c r="A22" s="63"/>
      <c r="B22" s="63"/>
      <c r="C22" s="63"/>
      <c r="D22" s="63"/>
      <c r="E22" s="63"/>
      <c r="F22" s="63"/>
      <c r="G22" s="63"/>
      <c r="H22" s="63"/>
      <c r="I22" s="63"/>
      <c r="J22" s="63"/>
      <c r="K22" s="63"/>
      <c r="L22" s="63"/>
    </row>
    <row r="23" spans="1:12" ht="29" customHeight="1" x14ac:dyDescent="0.2">
      <c r="A23" s="63"/>
      <c r="B23" s="63"/>
      <c r="C23" s="63"/>
      <c r="D23" s="63"/>
      <c r="E23" s="63"/>
      <c r="F23" s="63"/>
      <c r="G23" s="63"/>
      <c r="H23" s="63"/>
      <c r="I23" s="63"/>
      <c r="J23" s="63"/>
      <c r="K23" s="63"/>
      <c r="L23" s="63"/>
    </row>
    <row r="24" spans="1:12" x14ac:dyDescent="0.2">
      <c r="A24" s="50" t="s">
        <v>71</v>
      </c>
    </row>
    <row r="25" spans="1:12" x14ac:dyDescent="0.2">
      <c r="A25" t="s">
        <v>0</v>
      </c>
      <c r="B25" s="1" t="s">
        <v>37</v>
      </c>
      <c r="C25" s="1" t="s">
        <v>47</v>
      </c>
      <c r="D25" s="1"/>
      <c r="E25" s="24" t="s">
        <v>72</v>
      </c>
      <c r="F25" s="24" t="s">
        <v>73</v>
      </c>
      <c r="G25" s="24"/>
      <c r="I25" s="2" t="s">
        <v>8</v>
      </c>
      <c r="J25" s="3" t="s">
        <v>9</v>
      </c>
      <c r="K25" s="4" t="s">
        <v>35</v>
      </c>
    </row>
    <row r="26" spans="1:12" ht="17" x14ac:dyDescent="0.2">
      <c r="A26" s="24" t="s">
        <v>48</v>
      </c>
      <c r="B26" s="30" t="s">
        <v>183</v>
      </c>
      <c r="C26" s="49">
        <v>0.28699000000000002</v>
      </c>
      <c r="D26" s="54" t="s">
        <v>74</v>
      </c>
      <c r="E26" s="33">
        <v>5.2199999999999998E-3</v>
      </c>
      <c r="F26" s="51">
        <v>3.8999999999999999E-4</v>
      </c>
      <c r="G26" s="27"/>
      <c r="I26" s="7" t="s">
        <v>13</v>
      </c>
      <c r="J26" s="8">
        <f>E29+E28+E26</f>
        <v>1.2070000000000001E-2</v>
      </c>
      <c r="K26" s="9">
        <f>E26</f>
        <v>5.2199999999999998E-3</v>
      </c>
    </row>
    <row r="27" spans="1:12" ht="17" x14ac:dyDescent="0.2">
      <c r="A27" s="24" t="s">
        <v>49</v>
      </c>
      <c r="B27" s="30" t="s">
        <v>170</v>
      </c>
      <c r="C27" s="49">
        <v>1.439E-2</v>
      </c>
      <c r="D27" s="54" t="s">
        <v>75</v>
      </c>
      <c r="E27" s="33">
        <v>7.9600000000000001E-3</v>
      </c>
      <c r="F27" s="52">
        <v>3.5E-4</v>
      </c>
      <c r="G27" s="27"/>
      <c r="I27" s="7" t="s">
        <v>14</v>
      </c>
      <c r="J27" s="8">
        <v>6</v>
      </c>
      <c r="K27" s="11">
        <f>K26/K28</f>
        <v>5.1897265948632967</v>
      </c>
      <c r="L27">
        <f>K27/J27</f>
        <v>0.86495443247721615</v>
      </c>
    </row>
    <row r="28" spans="1:12" x14ac:dyDescent="0.2">
      <c r="A28" s="24" t="s">
        <v>50</v>
      </c>
      <c r="B28" s="61" t="s">
        <v>40</v>
      </c>
      <c r="D28" s="55" t="s">
        <v>76</v>
      </c>
      <c r="E28" s="33">
        <v>3.6000000000000002E-4</v>
      </c>
      <c r="F28" s="52">
        <v>4.2000000000000002E-4</v>
      </c>
      <c r="I28" s="7" t="s">
        <v>15</v>
      </c>
      <c r="J28" s="10">
        <f>J26/(2*J27)</f>
        <v>1.0058333333333334E-3</v>
      </c>
      <c r="K28" s="13">
        <f>J28</f>
        <v>1.0058333333333334E-3</v>
      </c>
    </row>
    <row r="29" spans="1:12" x14ac:dyDescent="0.2">
      <c r="A29" s="24" t="s">
        <v>69</v>
      </c>
      <c r="B29" s="30" t="s">
        <v>70</v>
      </c>
      <c r="D29" s="56" t="s">
        <v>77</v>
      </c>
      <c r="E29" s="33">
        <v>6.4900000000000001E-3</v>
      </c>
      <c r="F29" s="53">
        <v>2.5000000000000001E-4</v>
      </c>
      <c r="I29" s="14" t="s">
        <v>17</v>
      </c>
      <c r="J29" s="15"/>
      <c r="K29" s="16"/>
    </row>
    <row r="30" spans="1:12" x14ac:dyDescent="0.2">
      <c r="A30" s="24"/>
      <c r="B30" s="24"/>
      <c r="C30" s="27"/>
      <c r="I30" s="7" t="s">
        <v>18</v>
      </c>
      <c r="J30" s="32"/>
      <c r="K30" s="18">
        <f>F26/K28</f>
        <v>0.38773819386909691</v>
      </c>
      <c r="L30">
        <f>K30/J27</f>
        <v>6.4623032311516157E-2</v>
      </c>
    </row>
    <row r="31" spans="1:12" x14ac:dyDescent="0.2">
      <c r="A31" s="24"/>
      <c r="B31" s="24"/>
      <c r="C31" s="27"/>
      <c r="I31" s="19" t="s">
        <v>19</v>
      </c>
      <c r="J31" s="20"/>
      <c r="K31" s="22"/>
    </row>
    <row r="32" spans="1:12" x14ac:dyDescent="0.2">
      <c r="A32" s="24"/>
      <c r="B32" s="24"/>
      <c r="C32" s="24"/>
    </row>
    <row r="33" spans="1:12" ht="89" customHeight="1" x14ac:dyDescent="0.2">
      <c r="A33" s="150" t="s">
        <v>68</v>
      </c>
      <c r="B33" s="150"/>
      <c r="C33" s="150"/>
      <c r="D33" s="150"/>
      <c r="E33" s="150"/>
      <c r="F33" s="150"/>
      <c r="G33" s="150"/>
      <c r="H33" s="150"/>
      <c r="I33" s="150"/>
      <c r="J33" s="150"/>
      <c r="K33" s="150"/>
      <c r="L33" s="150"/>
    </row>
  </sheetData>
  <mergeCells count="3">
    <mergeCell ref="A10:L10"/>
    <mergeCell ref="A33:L33"/>
    <mergeCell ref="A1:P1"/>
  </mergeCells>
  <pageMargins left="0.75" right="0.75" top="1" bottom="1" header="0.5" footer="0.5"/>
  <pageSetup orientation="portrait" horizontalDpi="4294967292" verticalDpi="429496729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C36" sqref="C36"/>
    </sheetView>
  </sheetViews>
  <sheetFormatPr baseColWidth="10" defaultRowHeight="16" x14ac:dyDescent="0.2"/>
  <cols>
    <col min="2" max="2" width="14.1640625" bestFit="1" customWidth="1"/>
    <col min="3" max="3" width="25.33203125" bestFit="1" customWidth="1"/>
    <col min="10" max="10" width="18" bestFit="1" customWidth="1"/>
    <col min="11" max="11" width="12.83203125" bestFit="1" customWidth="1"/>
    <col min="12" max="12" width="9.5" customWidth="1"/>
  </cols>
  <sheetData>
    <row r="1" spans="1:13" x14ac:dyDescent="0.2">
      <c r="A1" s="153" t="s">
        <v>181</v>
      </c>
      <c r="B1" s="153"/>
      <c r="C1" s="153"/>
      <c r="D1" s="153"/>
      <c r="E1" s="153"/>
      <c r="F1" s="153"/>
      <c r="G1" s="153"/>
      <c r="H1" s="153"/>
      <c r="I1" s="153"/>
      <c r="J1" s="153"/>
      <c r="K1" s="153"/>
      <c r="L1" s="153"/>
      <c r="M1" s="153"/>
    </row>
    <row r="2" spans="1:13" x14ac:dyDescent="0.2">
      <c r="A2" t="s">
        <v>0</v>
      </c>
      <c r="B2" s="1" t="s">
        <v>37</v>
      </c>
      <c r="C2" s="1" t="s">
        <v>171</v>
      </c>
      <c r="D2" s="1" t="s">
        <v>47</v>
      </c>
      <c r="E2" s="24" t="s">
        <v>48</v>
      </c>
      <c r="F2" s="24" t="s">
        <v>49</v>
      </c>
      <c r="G2" s="24" t="s">
        <v>33</v>
      </c>
      <c r="J2" s="2" t="s">
        <v>8</v>
      </c>
      <c r="K2" s="3" t="s">
        <v>9</v>
      </c>
      <c r="L2" s="4" t="s">
        <v>35</v>
      </c>
    </row>
    <row r="3" spans="1:13" ht="17" x14ac:dyDescent="0.2">
      <c r="A3" s="24" t="s">
        <v>78</v>
      </c>
      <c r="B3" s="30" t="s">
        <v>80</v>
      </c>
      <c r="C3" s="30" t="s">
        <v>174</v>
      </c>
      <c r="D3" s="49">
        <v>0.81237999999999999</v>
      </c>
      <c r="E3" s="76" t="s">
        <v>12</v>
      </c>
      <c r="F3" s="77">
        <v>3.1479511419199466E-4</v>
      </c>
      <c r="G3" s="77">
        <v>4.650611220597382E-4</v>
      </c>
      <c r="J3" s="7" t="s">
        <v>13</v>
      </c>
      <c r="K3" s="8">
        <f>AVERAGE(E5:F5)</f>
        <v>1.5513942544749247E-2</v>
      </c>
      <c r="L3" s="9">
        <f>E4</f>
        <v>7.2658910478151269E-3</v>
      </c>
      <c r="M3">
        <f>L3/K3</f>
        <v>0.46834587835148944</v>
      </c>
    </row>
    <row r="4" spans="1:13" ht="17" x14ac:dyDescent="0.2">
      <c r="A4" s="24" t="s">
        <v>79</v>
      </c>
      <c r="B4" s="30" t="s">
        <v>80</v>
      </c>
      <c r="C4" s="30" t="s">
        <v>175</v>
      </c>
      <c r="D4" s="49">
        <v>0.12709000000000001</v>
      </c>
      <c r="E4" s="76">
        <v>7.2658910478151269E-3</v>
      </c>
      <c r="F4" s="77" t="s">
        <v>12</v>
      </c>
      <c r="G4" s="77">
        <v>4.5943762178793937E-4</v>
      </c>
      <c r="J4" s="7" t="s">
        <v>14</v>
      </c>
      <c r="K4" s="8">
        <v>6</v>
      </c>
      <c r="L4" s="11">
        <f>L3/(2*L5)</f>
        <v>2.8100752701089364</v>
      </c>
    </row>
    <row r="5" spans="1:13" x14ac:dyDescent="0.2">
      <c r="A5" s="24" t="s">
        <v>33</v>
      </c>
      <c r="B5" s="30" t="s">
        <v>38</v>
      </c>
      <c r="C5" s="30" t="s">
        <v>177</v>
      </c>
      <c r="E5" s="76">
        <v>1.5700168054033386E-2</v>
      </c>
      <c r="F5" s="76">
        <v>1.5327717035465108E-2</v>
      </c>
      <c r="G5" s="77" t="s">
        <v>12</v>
      </c>
      <c r="J5" s="7" t="s">
        <v>15</v>
      </c>
      <c r="K5" s="10">
        <f>K3/(2*K4)</f>
        <v>1.2928285453957706E-3</v>
      </c>
      <c r="L5" s="13">
        <f>$K5</f>
        <v>1.2928285453957706E-3</v>
      </c>
    </row>
    <row r="6" spans="1:13" x14ac:dyDescent="0.2">
      <c r="A6" s="24" t="s">
        <v>69</v>
      </c>
      <c r="B6" s="30" t="s">
        <v>70</v>
      </c>
      <c r="C6" s="30" t="s">
        <v>176</v>
      </c>
      <c r="J6" s="14" t="s">
        <v>17</v>
      </c>
      <c r="K6" s="15"/>
      <c r="L6" s="16"/>
    </row>
    <row r="7" spans="1:13" x14ac:dyDescent="0.2">
      <c r="A7" s="24"/>
      <c r="B7" s="24"/>
      <c r="C7" s="27"/>
      <c r="D7" s="27"/>
      <c r="J7" s="7" t="s">
        <v>18</v>
      </c>
      <c r="K7" s="32">
        <f>F3/(2*$K$5)</f>
        <v>0.12174665979997647</v>
      </c>
      <c r="L7" s="18">
        <f>(E4+F3)/(2*$K$5)</f>
        <v>2.9318219299089128</v>
      </c>
      <c r="M7">
        <f>F3/K3</f>
        <v>2.0291109966662748E-2</v>
      </c>
    </row>
    <row r="8" spans="1:13" x14ac:dyDescent="0.2">
      <c r="A8" s="24"/>
      <c r="B8" s="24"/>
      <c r="C8" s="24"/>
      <c r="D8" s="27"/>
      <c r="J8" s="19" t="s">
        <v>19</v>
      </c>
      <c r="K8" s="20"/>
      <c r="L8" s="22">
        <f>(E4-F3)/(2*$K$5)</f>
        <v>2.6883286103089596</v>
      </c>
    </row>
    <row r="9" spans="1:13" x14ac:dyDescent="0.2">
      <c r="A9" s="24"/>
      <c r="B9" s="24"/>
      <c r="C9" s="24"/>
      <c r="D9" s="24"/>
    </row>
    <row r="10" spans="1:13" ht="62" customHeight="1" x14ac:dyDescent="0.2">
      <c r="A10" s="147" t="s">
        <v>324</v>
      </c>
      <c r="B10" s="147"/>
      <c r="C10" s="147"/>
      <c r="D10" s="147"/>
      <c r="E10" s="147"/>
      <c r="F10" s="147"/>
      <c r="G10" s="147"/>
      <c r="H10" s="147"/>
      <c r="I10" s="147"/>
      <c r="J10" s="147"/>
      <c r="K10" s="147"/>
      <c r="L10" s="147"/>
    </row>
    <row r="11" spans="1:13" x14ac:dyDescent="0.2">
      <c r="A11" s="63"/>
      <c r="B11" s="63"/>
      <c r="C11" s="63"/>
      <c r="D11" s="63"/>
      <c r="E11" s="63"/>
      <c r="F11" s="63"/>
      <c r="G11" s="63"/>
      <c r="H11" s="63"/>
      <c r="I11" s="63"/>
      <c r="J11" s="63"/>
      <c r="K11" s="63"/>
      <c r="L11" s="63"/>
    </row>
    <row r="12" spans="1:13" x14ac:dyDescent="0.2">
      <c r="A12" s="153" t="s">
        <v>180</v>
      </c>
      <c r="B12" s="153"/>
      <c r="C12" s="153"/>
      <c r="D12" s="153"/>
      <c r="E12" s="153"/>
      <c r="F12" s="153"/>
      <c r="G12" s="153"/>
      <c r="H12" s="153"/>
      <c r="I12" s="153"/>
      <c r="J12" s="153"/>
      <c r="K12" s="153"/>
      <c r="L12" s="153"/>
      <c r="M12" s="153"/>
    </row>
    <row r="13" spans="1:13" x14ac:dyDescent="0.2">
      <c r="A13" t="s">
        <v>0</v>
      </c>
      <c r="B13" s="1" t="s">
        <v>37</v>
      </c>
      <c r="C13" s="1" t="s">
        <v>171</v>
      </c>
      <c r="D13" s="1" t="s">
        <v>47</v>
      </c>
      <c r="E13" s="24" t="s">
        <v>48</v>
      </c>
      <c r="F13" s="24" t="s">
        <v>49</v>
      </c>
      <c r="G13" s="24" t="s">
        <v>50</v>
      </c>
      <c r="H13" s="24"/>
      <c r="J13" s="2" t="s">
        <v>8</v>
      </c>
      <c r="K13" s="3" t="s">
        <v>9</v>
      </c>
      <c r="L13" s="4" t="s">
        <v>35</v>
      </c>
    </row>
    <row r="14" spans="1:13" ht="17" x14ac:dyDescent="0.2">
      <c r="A14" s="24" t="s">
        <v>48</v>
      </c>
      <c r="B14" s="30" t="s">
        <v>80</v>
      </c>
      <c r="C14" s="30" t="s">
        <v>172</v>
      </c>
      <c r="D14" s="49">
        <v>0.23538000000000001</v>
      </c>
      <c r="E14" s="76" t="s">
        <v>12</v>
      </c>
      <c r="F14" s="77">
        <v>1.5197531662490782E-4</v>
      </c>
      <c r="G14" s="77">
        <v>2.3180809236171036E-4</v>
      </c>
      <c r="H14" s="27"/>
      <c r="J14" s="7" t="s">
        <v>13</v>
      </c>
      <c r="K14" s="8">
        <f>AVERAGE(E16:F16)</f>
        <v>1.3822244199955506E-2</v>
      </c>
      <c r="L14" s="9">
        <f>E15</f>
        <v>6.0573298158401057E-3</v>
      </c>
      <c r="M14">
        <f>L14/K14</f>
        <v>0.43823055997372728</v>
      </c>
    </row>
    <row r="15" spans="1:13" ht="17" x14ac:dyDescent="0.2">
      <c r="A15" s="24" t="s">
        <v>49</v>
      </c>
      <c r="B15" s="30" t="s">
        <v>80</v>
      </c>
      <c r="C15" s="30" t="s">
        <v>173</v>
      </c>
      <c r="D15" s="49">
        <v>0.91839999999999999</v>
      </c>
      <c r="E15" s="76">
        <v>6.0573298158401057E-3</v>
      </c>
      <c r="F15" s="77" t="s">
        <v>12</v>
      </c>
      <c r="G15" s="77">
        <v>2.2964121519953982E-4</v>
      </c>
      <c r="H15" s="27"/>
      <c r="J15" s="7" t="s">
        <v>14</v>
      </c>
      <c r="K15" s="8">
        <v>6</v>
      </c>
      <c r="L15" s="11">
        <f>L14/(2*L16)</f>
        <v>2.6293833598423637</v>
      </c>
    </row>
    <row r="16" spans="1:13" x14ac:dyDescent="0.2">
      <c r="A16" s="24" t="s">
        <v>50</v>
      </c>
      <c r="B16" s="30" t="s">
        <v>82</v>
      </c>
      <c r="C16" s="30" t="s">
        <v>178</v>
      </c>
      <c r="E16" s="76">
        <v>1.3949734651366322E-2</v>
      </c>
      <c r="F16" s="76">
        <v>1.369475374854469E-2</v>
      </c>
      <c r="G16" s="77" t="s">
        <v>12</v>
      </c>
      <c r="H16" s="27"/>
      <c r="J16" s="7" t="s">
        <v>15</v>
      </c>
      <c r="K16" s="10">
        <f>K14/(2*K15)</f>
        <v>1.1518536833296255E-3</v>
      </c>
      <c r="L16" s="13">
        <f>$K16</f>
        <v>1.1518536833296255E-3</v>
      </c>
    </row>
    <row r="17" spans="1:13" x14ac:dyDescent="0.2">
      <c r="A17" s="24" t="s">
        <v>81</v>
      </c>
      <c r="B17" s="30" t="s">
        <v>70</v>
      </c>
      <c r="C17" s="30" t="s">
        <v>179</v>
      </c>
      <c r="E17" s="24"/>
      <c r="F17" s="24"/>
      <c r="G17" s="24"/>
      <c r="H17" s="24"/>
      <c r="J17" s="14" t="s">
        <v>17</v>
      </c>
      <c r="K17" s="15"/>
      <c r="L17" s="16"/>
    </row>
    <row r="18" spans="1:13" x14ac:dyDescent="0.2">
      <c r="A18" s="24"/>
      <c r="B18" s="24"/>
      <c r="C18" s="27"/>
      <c r="D18" s="27"/>
      <c r="J18" s="7" t="s">
        <v>18</v>
      </c>
      <c r="K18" s="32">
        <f>F14/(2*$K$5)</f>
        <v>5.8776284436999324E-2</v>
      </c>
      <c r="L18" s="18">
        <f>(E15+F14)/(2*$K$16)</f>
        <v>2.69535324769548</v>
      </c>
      <c r="M18">
        <f>F14/K14</f>
        <v>1.0994981308852656E-2</v>
      </c>
    </row>
    <row r="19" spans="1:13" x14ac:dyDescent="0.2">
      <c r="A19" s="24"/>
      <c r="B19" s="24"/>
      <c r="C19" s="24"/>
      <c r="D19" s="27"/>
      <c r="J19" s="19" t="s">
        <v>19</v>
      </c>
      <c r="K19" s="20"/>
      <c r="L19" s="22">
        <f>(E15-F14)/(2*$K$16)</f>
        <v>2.5634134719892478</v>
      </c>
    </row>
    <row r="20" spans="1:13" x14ac:dyDescent="0.2">
      <c r="A20" s="24"/>
      <c r="B20" s="24"/>
      <c r="C20" s="24"/>
      <c r="D20" s="24"/>
    </row>
    <row r="21" spans="1:13" ht="56" customHeight="1" x14ac:dyDescent="0.2">
      <c r="A21" s="147" t="s">
        <v>182</v>
      </c>
      <c r="B21" s="147"/>
      <c r="C21" s="147"/>
      <c r="D21" s="147"/>
      <c r="E21" s="147"/>
      <c r="F21" s="147"/>
      <c r="G21" s="147"/>
      <c r="H21" s="147"/>
      <c r="I21" s="147"/>
      <c r="J21" s="147"/>
      <c r="K21" s="147"/>
      <c r="L21" s="147"/>
    </row>
    <row r="23" spans="1:13" x14ac:dyDescent="0.2">
      <c r="A23" s="153" t="s">
        <v>332</v>
      </c>
      <c r="B23" s="153"/>
      <c r="C23" s="153"/>
      <c r="D23" s="153"/>
      <c r="E23" s="153"/>
      <c r="F23" s="153"/>
      <c r="G23" s="153"/>
      <c r="H23" s="153"/>
      <c r="I23" s="153"/>
      <c r="J23" s="153"/>
      <c r="K23" s="153"/>
      <c r="L23" s="153"/>
      <c r="M23" s="153"/>
    </row>
    <row r="24" spans="1:13" x14ac:dyDescent="0.2">
      <c r="A24" t="s">
        <v>0</v>
      </c>
      <c r="B24" s="1" t="s">
        <v>37</v>
      </c>
      <c r="C24" s="1" t="s">
        <v>171</v>
      </c>
      <c r="D24" s="1" t="s">
        <v>47</v>
      </c>
      <c r="E24" s="24" t="s">
        <v>48</v>
      </c>
      <c r="F24" s="24" t="s">
        <v>49</v>
      </c>
      <c r="G24" s="24" t="s">
        <v>50</v>
      </c>
      <c r="H24" s="24"/>
      <c r="J24" s="2" t="s">
        <v>8</v>
      </c>
      <c r="K24" s="3" t="s">
        <v>9</v>
      </c>
      <c r="L24" s="4" t="s">
        <v>35</v>
      </c>
    </row>
    <row r="25" spans="1:13" ht="17" x14ac:dyDescent="0.2">
      <c r="A25" s="24" t="s">
        <v>48</v>
      </c>
      <c r="B25" s="30" t="s">
        <v>80</v>
      </c>
      <c r="C25" s="30" t="s">
        <v>172</v>
      </c>
      <c r="D25" s="49">
        <v>0.18215000000000001</v>
      </c>
      <c r="E25" s="76" t="s">
        <v>12</v>
      </c>
      <c r="F25" s="77">
        <v>1.5543202189653748E-4</v>
      </c>
      <c r="G25" s="77">
        <v>2.3530427002647404E-4</v>
      </c>
      <c r="H25" s="27"/>
      <c r="J25" s="7" t="s">
        <v>13</v>
      </c>
      <c r="K25" s="8">
        <f>AVERAGE(E27:F27)</f>
        <v>1.3867100601112292E-2</v>
      </c>
      <c r="L25" s="9">
        <f>E26</f>
        <v>6.1715342729599465E-3</v>
      </c>
      <c r="M25">
        <f>L25/K25</f>
        <v>0.4450486406989016</v>
      </c>
    </row>
    <row r="26" spans="1:13" ht="17" x14ac:dyDescent="0.2">
      <c r="A26" s="24" t="s">
        <v>49</v>
      </c>
      <c r="B26" s="30" t="s">
        <v>80</v>
      </c>
      <c r="C26" s="30" t="s">
        <v>173</v>
      </c>
      <c r="D26" s="49">
        <v>0.97250999999999999</v>
      </c>
      <c r="E26" s="76">
        <v>6.1715342729599465E-3</v>
      </c>
      <c r="F26" s="77" t="s">
        <v>12</v>
      </c>
      <c r="G26" s="77">
        <v>2.3298726513338002E-4</v>
      </c>
      <c r="H26" s="27"/>
      <c r="J26" s="7" t="s">
        <v>14</v>
      </c>
      <c r="K26" s="8">
        <v>6</v>
      </c>
      <c r="L26" s="11">
        <f>L25/(2*L27)</f>
        <v>2.6702918441934096</v>
      </c>
    </row>
    <row r="27" spans="1:13" x14ac:dyDescent="0.2">
      <c r="A27" s="24" t="s">
        <v>50</v>
      </c>
      <c r="B27" s="30" t="s">
        <v>82</v>
      </c>
      <c r="C27" s="30" t="s">
        <v>178</v>
      </c>
      <c r="E27" s="76">
        <v>1.4001922006007996E-2</v>
      </c>
      <c r="F27" s="76">
        <v>1.373227919621659E-2</v>
      </c>
      <c r="G27" s="77" t="s">
        <v>12</v>
      </c>
      <c r="H27" s="27"/>
      <c r="J27" s="7" t="s">
        <v>15</v>
      </c>
      <c r="K27" s="10">
        <f>K25/(2*K26)</f>
        <v>1.1555917167593577E-3</v>
      </c>
      <c r="L27" s="13">
        <f>$K27</f>
        <v>1.1555917167593577E-3</v>
      </c>
    </row>
    <row r="28" spans="1:13" x14ac:dyDescent="0.2">
      <c r="A28" s="24" t="s">
        <v>81</v>
      </c>
      <c r="B28" s="30" t="s">
        <v>70</v>
      </c>
      <c r="C28" s="30" t="s">
        <v>179</v>
      </c>
      <c r="E28" s="24"/>
      <c r="F28" s="24"/>
      <c r="G28" s="24"/>
      <c r="H28" s="24"/>
      <c r="J28" s="14" t="s">
        <v>17</v>
      </c>
      <c r="K28" s="15"/>
      <c r="L28" s="16"/>
    </row>
    <row r="29" spans="1:13" x14ac:dyDescent="0.2">
      <c r="A29" s="24"/>
      <c r="B29" s="24"/>
      <c r="C29" s="27"/>
      <c r="D29" s="27"/>
      <c r="J29" s="7" t="s">
        <v>18</v>
      </c>
      <c r="K29" s="32">
        <f>F25/(2*$K$5)</f>
        <v>6.0113161350778897E-2</v>
      </c>
      <c r="L29" s="18">
        <f>(E26+F25)/(2*$K$16)</f>
        <v>2.7464279475876356</v>
      </c>
      <c r="M29">
        <f>F25/K25</f>
        <v>1.1208689283185134E-2</v>
      </c>
    </row>
    <row r="30" spans="1:13" x14ac:dyDescent="0.2">
      <c r="A30" s="24"/>
      <c r="B30" s="24"/>
      <c r="C30" s="24"/>
      <c r="D30" s="27"/>
      <c r="J30" s="19" t="s">
        <v>19</v>
      </c>
      <c r="K30" s="20"/>
      <c r="L30" s="22">
        <f>(E26-F25)/(2*$K$16)</f>
        <v>2.6114871785072826</v>
      </c>
    </row>
    <row r="31" spans="1:13" x14ac:dyDescent="0.2">
      <c r="A31" s="24"/>
      <c r="B31" s="24"/>
      <c r="C31" s="24"/>
      <c r="D31" s="24"/>
    </row>
    <row r="32" spans="1:13" ht="59" customHeight="1" x14ac:dyDescent="0.2">
      <c r="A32" s="147" t="s">
        <v>333</v>
      </c>
      <c r="B32" s="147"/>
      <c r="C32" s="147"/>
      <c r="D32" s="147"/>
      <c r="E32" s="147"/>
      <c r="F32" s="147"/>
      <c r="G32" s="147"/>
      <c r="H32" s="147"/>
      <c r="I32" s="147"/>
      <c r="J32" s="147"/>
      <c r="K32" s="147"/>
      <c r="L32" s="147"/>
    </row>
  </sheetData>
  <mergeCells count="6">
    <mergeCell ref="A32:L32"/>
    <mergeCell ref="A10:L10"/>
    <mergeCell ref="A21:L21"/>
    <mergeCell ref="A1:M1"/>
    <mergeCell ref="A12:M12"/>
    <mergeCell ref="A23:M23"/>
  </mergeCells>
  <pageMargins left="0.75" right="0.75" top="1" bottom="1" header="0.5" footer="0.5"/>
  <pageSetup orientation="portrait" horizontalDpi="4294967292" verticalDpi="429496729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selection activeCell="M41" sqref="M41"/>
    </sheetView>
  </sheetViews>
  <sheetFormatPr baseColWidth="10" defaultRowHeight="16" x14ac:dyDescent="0.2"/>
  <cols>
    <col min="2" max="2" width="23.5" bestFit="1" customWidth="1"/>
    <col min="3" max="3" width="24.6640625" customWidth="1"/>
    <col min="6" max="6" width="14.83203125" customWidth="1"/>
    <col min="10" max="10" width="18" bestFit="1" customWidth="1"/>
    <col min="11" max="11" width="12.83203125" bestFit="1" customWidth="1"/>
    <col min="12" max="12" width="7.83203125" bestFit="1" customWidth="1"/>
    <col min="13" max="13" width="12.1640625" bestFit="1" customWidth="1"/>
  </cols>
  <sheetData>
    <row r="1" spans="1:13" x14ac:dyDescent="0.2">
      <c r="A1" s="153" t="s">
        <v>192</v>
      </c>
      <c r="B1" s="153"/>
      <c r="C1" s="153"/>
      <c r="D1" s="153"/>
      <c r="E1" s="153"/>
      <c r="F1" s="153"/>
      <c r="G1" s="153"/>
      <c r="H1" s="153"/>
      <c r="I1" s="153"/>
      <c r="J1" s="153"/>
      <c r="K1" s="153"/>
      <c r="L1" s="153"/>
      <c r="M1" s="153"/>
    </row>
    <row r="2" spans="1:13" x14ac:dyDescent="0.2">
      <c r="A2" t="s">
        <v>0</v>
      </c>
      <c r="B2" s="1" t="s">
        <v>37</v>
      </c>
      <c r="C2" s="1" t="s">
        <v>190</v>
      </c>
      <c r="D2" s="1" t="s">
        <v>47</v>
      </c>
      <c r="E2" s="24" t="s">
        <v>48</v>
      </c>
      <c r="F2" s="24" t="s">
        <v>49</v>
      </c>
      <c r="G2" s="24" t="s">
        <v>33</v>
      </c>
    </row>
    <row r="3" spans="1:13" ht="17" x14ac:dyDescent="0.2">
      <c r="A3" s="24" t="s">
        <v>48</v>
      </c>
      <c r="B3" s="30" t="s">
        <v>185</v>
      </c>
      <c r="C3" s="109" t="s">
        <v>188</v>
      </c>
      <c r="D3" s="49">
        <v>0.22336</v>
      </c>
      <c r="E3" s="76" t="s">
        <v>12</v>
      </c>
      <c r="F3" s="77">
        <v>8.6285801254144134E-5</v>
      </c>
      <c r="G3" s="77">
        <v>2.6105719506269368E-4</v>
      </c>
      <c r="H3" s="77"/>
    </row>
    <row r="4" spans="1:13" ht="17" x14ac:dyDescent="0.2">
      <c r="A4" s="24" t="s">
        <v>49</v>
      </c>
      <c r="B4" s="30" t="s">
        <v>185</v>
      </c>
      <c r="C4" s="109" t="s">
        <v>189</v>
      </c>
      <c r="D4" s="49">
        <v>4.3889999999999998E-2</v>
      </c>
      <c r="E4" s="76">
        <v>1.7821089344741592E-3</v>
      </c>
      <c r="F4" s="77" t="s">
        <v>12</v>
      </c>
      <c r="G4" s="77">
        <v>2.6105598667274562E-4</v>
      </c>
      <c r="H4" s="77"/>
    </row>
    <row r="5" spans="1:13" x14ac:dyDescent="0.2">
      <c r="A5" s="24" t="s">
        <v>33</v>
      </c>
      <c r="B5" s="30" t="s">
        <v>184</v>
      </c>
      <c r="C5" s="30" t="s">
        <v>16</v>
      </c>
      <c r="E5" s="76">
        <v>1.6015076367312777E-2</v>
      </c>
      <c r="F5" s="76">
        <v>1.6015039594668441E-2</v>
      </c>
      <c r="G5" s="77" t="s">
        <v>12</v>
      </c>
      <c r="H5" s="77"/>
    </row>
    <row r="6" spans="1:13" x14ac:dyDescent="0.2">
      <c r="A6" s="24" t="s">
        <v>69</v>
      </c>
      <c r="B6" s="30" t="s">
        <v>70</v>
      </c>
      <c r="C6" s="30" t="s">
        <v>186</v>
      </c>
      <c r="E6" s="76"/>
      <c r="F6" s="76"/>
      <c r="G6" s="76"/>
      <c r="H6" s="77"/>
    </row>
    <row r="7" spans="1:13" x14ac:dyDescent="0.2">
      <c r="A7" s="24"/>
      <c r="B7" s="24"/>
      <c r="C7" s="24"/>
      <c r="D7" s="27"/>
    </row>
    <row r="8" spans="1:13" x14ac:dyDescent="0.2">
      <c r="A8" s="24"/>
      <c r="B8" s="24"/>
      <c r="C8" s="24"/>
      <c r="D8" s="27"/>
    </row>
    <row r="9" spans="1:13" x14ac:dyDescent="0.2">
      <c r="A9" s="24"/>
      <c r="B9" s="24"/>
      <c r="C9" s="24"/>
      <c r="D9" s="24"/>
    </row>
    <row r="10" spans="1:13" ht="97" customHeight="1" x14ac:dyDescent="0.2">
      <c r="A10" s="147" t="s">
        <v>321</v>
      </c>
      <c r="B10" s="147"/>
      <c r="C10" s="147"/>
      <c r="D10" s="147"/>
      <c r="E10" s="147"/>
      <c r="F10" s="147"/>
      <c r="G10" s="147"/>
      <c r="H10" s="147"/>
      <c r="I10" s="147"/>
      <c r="J10" s="147"/>
      <c r="K10" s="147"/>
      <c r="L10" s="147"/>
    </row>
    <row r="12" spans="1:13" x14ac:dyDescent="0.2">
      <c r="F12" s="23" t="s">
        <v>202</v>
      </c>
    </row>
    <row r="13" spans="1:13" x14ac:dyDescent="0.2">
      <c r="J13" s="2" t="s">
        <v>8</v>
      </c>
      <c r="K13" s="3" t="s">
        <v>9</v>
      </c>
      <c r="L13" s="4" t="s">
        <v>205</v>
      </c>
    </row>
    <row r="14" spans="1:13" x14ac:dyDescent="0.2">
      <c r="F14" t="s">
        <v>203</v>
      </c>
      <c r="G14" t="s">
        <v>204</v>
      </c>
      <c r="H14" t="s">
        <v>73</v>
      </c>
      <c r="J14" s="7" t="s">
        <v>13</v>
      </c>
      <c r="K14" s="8">
        <f>(G17+G16+G15)</f>
        <v>1.5177E-2</v>
      </c>
      <c r="L14" s="9">
        <f>G15*2</f>
        <v>1.428E-3</v>
      </c>
      <c r="M14">
        <f>L14/K14</f>
        <v>9.4089741055544573E-2</v>
      </c>
    </row>
    <row r="15" spans="1:13" x14ac:dyDescent="0.2">
      <c r="F15" t="s">
        <v>205</v>
      </c>
      <c r="G15">
        <v>7.1400000000000001E-4</v>
      </c>
      <c r="H15">
        <v>8.7999999999999998E-5</v>
      </c>
      <c r="J15" s="7" t="s">
        <v>14</v>
      </c>
      <c r="K15" s="8">
        <v>6</v>
      </c>
      <c r="L15" s="11">
        <f>L14/(2*L16)</f>
        <v>0.56453844633326744</v>
      </c>
    </row>
    <row r="16" spans="1:13" x14ac:dyDescent="0.2">
      <c r="F16" t="s">
        <v>206</v>
      </c>
      <c r="G16">
        <v>7.1329999999999996E-3</v>
      </c>
      <c r="H16">
        <v>1.2300000000000001E-4</v>
      </c>
      <c r="J16" s="7" t="s">
        <v>15</v>
      </c>
      <c r="K16" s="10">
        <f>K14/(2*K15)</f>
        <v>1.26475E-3</v>
      </c>
      <c r="L16" s="13">
        <f>$K16</f>
        <v>1.26475E-3</v>
      </c>
    </row>
    <row r="17" spans="1:13" x14ac:dyDescent="0.2">
      <c r="F17" t="s">
        <v>207</v>
      </c>
      <c r="G17">
        <v>7.3299999999999997E-3</v>
      </c>
      <c r="H17">
        <v>2.8800000000000001E-4</v>
      </c>
      <c r="J17" s="14" t="s">
        <v>17</v>
      </c>
      <c r="K17" s="15"/>
      <c r="L17" s="16"/>
    </row>
    <row r="18" spans="1:13" x14ac:dyDescent="0.2">
      <c r="J18" s="7" t="s">
        <v>18</v>
      </c>
      <c r="K18" s="32">
        <f>H15/($K$16)</f>
        <v>6.9578968175528763E-2</v>
      </c>
      <c r="L18" s="18">
        <f>(G15+H15)/($K$16)</f>
        <v>0.63411741450879622</v>
      </c>
      <c r="M18">
        <f>H15*2/K14</f>
        <v>1.159649469592146E-2</v>
      </c>
    </row>
    <row r="19" spans="1:13" x14ac:dyDescent="0.2">
      <c r="J19" s="19" t="s">
        <v>19</v>
      </c>
      <c r="K19" s="20"/>
      <c r="L19" s="22">
        <f>(G15-H15)/($K$16)</f>
        <v>0.49495947815773872</v>
      </c>
    </row>
    <row r="23" spans="1:13" x14ac:dyDescent="0.2">
      <c r="A23" s="153" t="s">
        <v>322</v>
      </c>
      <c r="B23" s="153"/>
      <c r="C23" s="153"/>
      <c r="D23" s="153"/>
      <c r="E23" s="153"/>
      <c r="F23" s="153"/>
      <c r="G23" s="153"/>
      <c r="H23" s="153"/>
      <c r="I23" s="153"/>
      <c r="J23" s="153"/>
      <c r="K23" s="153"/>
      <c r="L23" s="153"/>
      <c r="M23" s="153"/>
    </row>
    <row r="24" spans="1:13" x14ac:dyDescent="0.2">
      <c r="A24" t="s">
        <v>0</v>
      </c>
      <c r="B24" s="1" t="s">
        <v>37</v>
      </c>
      <c r="C24" s="1" t="s">
        <v>190</v>
      </c>
      <c r="D24" s="1" t="s">
        <v>47</v>
      </c>
      <c r="E24" s="24"/>
      <c r="F24" s="24"/>
      <c r="G24" s="24"/>
    </row>
    <row r="25" spans="1:13" ht="17" x14ac:dyDescent="0.2">
      <c r="A25" s="24" t="s">
        <v>48</v>
      </c>
      <c r="B25" s="30" t="s">
        <v>185</v>
      </c>
      <c r="C25" s="109" t="s">
        <v>188</v>
      </c>
      <c r="D25" s="49">
        <v>0.21482000000000001</v>
      </c>
      <c r="E25" s="76"/>
      <c r="F25" s="77"/>
      <c r="G25" s="77"/>
      <c r="H25" s="77"/>
    </row>
    <row r="26" spans="1:13" ht="17" x14ac:dyDescent="0.2">
      <c r="A26" s="24" t="s">
        <v>49</v>
      </c>
      <c r="B26" s="30" t="s">
        <v>185</v>
      </c>
      <c r="C26" s="109" t="s">
        <v>189</v>
      </c>
      <c r="D26" s="49">
        <v>2.409E-2</v>
      </c>
      <c r="E26" s="76"/>
      <c r="F26" s="77"/>
      <c r="G26" s="77"/>
      <c r="H26" s="77"/>
    </row>
    <row r="27" spans="1:13" x14ac:dyDescent="0.2">
      <c r="A27" s="24" t="s">
        <v>33</v>
      </c>
      <c r="B27" s="30" t="s">
        <v>184</v>
      </c>
      <c r="C27" s="30" t="s">
        <v>16</v>
      </c>
      <c r="E27" s="76"/>
      <c r="F27" s="76"/>
      <c r="G27" s="77"/>
      <c r="H27" s="77"/>
    </row>
    <row r="28" spans="1:13" x14ac:dyDescent="0.2">
      <c r="A28" s="24" t="s">
        <v>69</v>
      </c>
      <c r="B28" s="30" t="s">
        <v>70</v>
      </c>
      <c r="C28" s="30" t="s">
        <v>186</v>
      </c>
      <c r="E28" s="76"/>
      <c r="F28" s="76"/>
      <c r="G28" s="76"/>
      <c r="H28" s="77"/>
    </row>
    <row r="29" spans="1:13" x14ac:dyDescent="0.2">
      <c r="A29" s="24"/>
      <c r="B29" s="24"/>
      <c r="C29" s="24"/>
      <c r="D29" s="27"/>
    </row>
    <row r="30" spans="1:13" x14ac:dyDescent="0.2">
      <c r="A30" s="24"/>
      <c r="B30" s="24"/>
      <c r="C30" s="24"/>
      <c r="D30" s="27"/>
    </row>
    <row r="31" spans="1:13" x14ac:dyDescent="0.2">
      <c r="A31" s="24"/>
      <c r="B31" s="24"/>
      <c r="C31" s="24"/>
      <c r="D31" s="24"/>
    </row>
    <row r="32" spans="1:13" ht="84" customHeight="1" x14ac:dyDescent="0.2">
      <c r="A32" s="147" t="s">
        <v>323</v>
      </c>
      <c r="B32" s="147"/>
      <c r="C32" s="147"/>
      <c r="D32" s="147"/>
      <c r="E32" s="147"/>
      <c r="F32" s="147"/>
      <c r="G32" s="147"/>
      <c r="H32" s="147"/>
      <c r="I32" s="147"/>
      <c r="J32" s="147"/>
      <c r="K32" s="147"/>
      <c r="L32" s="147"/>
    </row>
    <row r="34" spans="6:13" x14ac:dyDescent="0.2">
      <c r="F34" s="23" t="s">
        <v>202</v>
      </c>
    </row>
    <row r="35" spans="6:13" x14ac:dyDescent="0.2">
      <c r="J35" s="2" t="s">
        <v>8</v>
      </c>
      <c r="K35" s="3" t="s">
        <v>9</v>
      </c>
      <c r="L35" s="4" t="s">
        <v>205</v>
      </c>
    </row>
    <row r="36" spans="6:13" x14ac:dyDescent="0.2">
      <c r="F36" t="s">
        <v>203</v>
      </c>
      <c r="G36" t="s">
        <v>204</v>
      </c>
      <c r="H36" t="s">
        <v>73</v>
      </c>
      <c r="J36" s="7" t="s">
        <v>13</v>
      </c>
      <c r="K36" s="8">
        <f>(G39+G38+G37)</f>
        <v>1.5261E-2</v>
      </c>
      <c r="L36" s="9">
        <f>G37*2</f>
        <v>1.488E-3</v>
      </c>
      <c r="M36">
        <f>L36/K36</f>
        <v>9.7503440141537251E-2</v>
      </c>
    </row>
    <row r="37" spans="6:13" x14ac:dyDescent="0.2">
      <c r="F37" t="s">
        <v>205</v>
      </c>
      <c r="G37">
        <v>7.4399999999999998E-4</v>
      </c>
      <c r="H37">
        <v>1.11E-4</v>
      </c>
      <c r="J37" s="7" t="s">
        <v>14</v>
      </c>
      <c r="K37" s="8">
        <v>6</v>
      </c>
      <c r="L37" s="11">
        <f>L36/(2*L38)</f>
        <v>0.58502064084922345</v>
      </c>
    </row>
    <row r="38" spans="6:13" x14ac:dyDescent="0.2">
      <c r="F38" t="s">
        <v>206</v>
      </c>
      <c r="G38">
        <v>7.1980000000000004E-3</v>
      </c>
      <c r="H38">
        <v>1.4300000000000001E-4</v>
      </c>
      <c r="J38" s="7" t="s">
        <v>15</v>
      </c>
      <c r="K38" s="10">
        <f>K36/(2*K37)</f>
        <v>1.2717500000000001E-3</v>
      </c>
      <c r="L38" s="13">
        <f>$K38</f>
        <v>1.2717500000000001E-3</v>
      </c>
    </row>
    <row r="39" spans="6:13" x14ac:dyDescent="0.2">
      <c r="F39" t="s">
        <v>207</v>
      </c>
      <c r="G39">
        <v>7.319E-3</v>
      </c>
      <c r="H39">
        <v>1.44E-4</v>
      </c>
      <c r="J39" s="14" t="s">
        <v>17</v>
      </c>
      <c r="K39" s="15"/>
      <c r="L39" s="16"/>
    </row>
    <row r="40" spans="6:13" x14ac:dyDescent="0.2">
      <c r="J40" s="7" t="s">
        <v>18</v>
      </c>
      <c r="K40" s="32">
        <f>H37/($K$16)</f>
        <v>8.7764380312314691E-2</v>
      </c>
      <c r="L40" s="18">
        <f>(G37+H37)/($K$16)</f>
        <v>0.67602292943269415</v>
      </c>
      <c r="M40">
        <f>H37*2/K36</f>
        <v>1.4546884214664832E-2</v>
      </c>
    </row>
    <row r="41" spans="6:13" x14ac:dyDescent="0.2">
      <c r="J41" s="19" t="s">
        <v>19</v>
      </c>
      <c r="K41" s="20"/>
      <c r="L41" s="22">
        <f>(G37-H37)/($K$16)</f>
        <v>0.50049416880806485</v>
      </c>
    </row>
  </sheetData>
  <mergeCells count="4">
    <mergeCell ref="A10:L10"/>
    <mergeCell ref="A1:M1"/>
    <mergeCell ref="A23:M23"/>
    <mergeCell ref="A32:L32"/>
  </mergeCells>
  <pageMargins left="0.75" right="0.75" top="1" bottom="1" header="0.5" footer="0.5"/>
  <pageSetup orientation="portrait" horizontalDpi="4294967292" verticalDpi="429496729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opLeftCell="A14" workbookViewId="0">
      <selection activeCell="N21" sqref="N21"/>
    </sheetView>
  </sheetViews>
  <sheetFormatPr baseColWidth="10" defaultRowHeight="16" x14ac:dyDescent="0.2"/>
  <cols>
    <col min="2" max="2" width="13.5" bestFit="1" customWidth="1"/>
    <col min="3" max="3" width="24.83203125" bestFit="1" customWidth="1"/>
    <col min="10" max="10" width="18" bestFit="1" customWidth="1"/>
    <col min="11" max="11" width="12.83203125" bestFit="1" customWidth="1"/>
    <col min="12" max="12" width="7.83203125" bestFit="1" customWidth="1"/>
  </cols>
  <sheetData>
    <row r="1" spans="1:13" x14ac:dyDescent="0.2">
      <c r="A1" s="153" t="s">
        <v>208</v>
      </c>
      <c r="B1" s="153"/>
      <c r="C1" s="153"/>
      <c r="D1" s="153"/>
      <c r="E1" s="153"/>
      <c r="F1" s="153"/>
      <c r="G1" s="153"/>
      <c r="H1" s="153"/>
      <c r="I1" s="153"/>
      <c r="J1" s="153"/>
      <c r="K1" s="153"/>
      <c r="L1" s="153"/>
      <c r="M1" s="153"/>
    </row>
    <row r="2" spans="1:13" x14ac:dyDescent="0.2">
      <c r="A2" t="s">
        <v>0</v>
      </c>
      <c r="B2" s="1" t="s">
        <v>37</v>
      </c>
      <c r="C2" s="1" t="s">
        <v>191</v>
      </c>
      <c r="D2" s="1" t="s">
        <v>47</v>
      </c>
      <c r="E2" s="24" t="s">
        <v>48</v>
      </c>
      <c r="F2" s="24" t="s">
        <v>49</v>
      </c>
      <c r="G2" s="24" t="s">
        <v>33</v>
      </c>
    </row>
    <row r="3" spans="1:13" ht="17" x14ac:dyDescent="0.2">
      <c r="A3" s="24" t="s">
        <v>313</v>
      </c>
      <c r="B3" s="30" t="s">
        <v>194</v>
      </c>
      <c r="C3" s="30" t="s">
        <v>195</v>
      </c>
      <c r="D3" s="35">
        <v>9.75E-3</v>
      </c>
      <c r="E3" s="76" t="s">
        <v>12</v>
      </c>
      <c r="F3" s="77">
        <v>1.6566058001953867E-4</v>
      </c>
      <c r="G3" s="77">
        <v>3.5449413384220778E-4</v>
      </c>
    </row>
    <row r="4" spans="1:13" ht="17" x14ac:dyDescent="0.2">
      <c r="A4" s="24" t="s">
        <v>314</v>
      </c>
      <c r="B4" s="30" t="s">
        <v>194</v>
      </c>
      <c r="C4" s="30" t="s">
        <v>196</v>
      </c>
      <c r="D4" s="35">
        <v>4.4400000000000004E-3</v>
      </c>
      <c r="E4" s="76">
        <v>3.4119965412837514E-3</v>
      </c>
      <c r="F4" s="77" t="s">
        <v>12</v>
      </c>
      <c r="G4" s="77">
        <v>3.5426622569554651E-4</v>
      </c>
    </row>
    <row r="5" spans="1:13" x14ac:dyDescent="0.2">
      <c r="A5" s="24" t="s">
        <v>33</v>
      </c>
      <c r="B5" s="30" t="s">
        <v>38</v>
      </c>
      <c r="C5" s="30" t="s">
        <v>197</v>
      </c>
      <c r="E5" s="76">
        <v>1.5396824486136234E-2</v>
      </c>
      <c r="F5" s="76">
        <v>1.5379672720778618E-2</v>
      </c>
      <c r="G5" s="77" t="s">
        <v>12</v>
      </c>
    </row>
    <row r="6" spans="1:13" x14ac:dyDescent="0.2">
      <c r="A6" s="24" t="s">
        <v>69</v>
      </c>
      <c r="B6" s="30" t="s">
        <v>70</v>
      </c>
      <c r="C6" s="30" t="s">
        <v>198</v>
      </c>
    </row>
    <row r="7" spans="1:13" x14ac:dyDescent="0.2">
      <c r="A7" s="155" t="s">
        <v>318</v>
      </c>
      <c r="B7" s="155"/>
      <c r="C7" s="155"/>
      <c r="D7" s="155"/>
      <c r="E7" s="155"/>
      <c r="F7" s="155"/>
      <c r="G7" s="155"/>
      <c r="H7" s="155"/>
      <c r="I7" s="155"/>
      <c r="J7" s="155"/>
      <c r="K7" s="155"/>
      <c r="L7" s="155"/>
      <c r="M7" s="155"/>
    </row>
    <row r="8" spans="1:13" ht="37" customHeight="1" x14ac:dyDescent="0.2">
      <c r="A8" s="155"/>
      <c r="B8" s="155"/>
      <c r="C8" s="155"/>
      <c r="D8" s="155"/>
      <c r="E8" s="155"/>
      <c r="F8" s="155"/>
      <c r="G8" s="155"/>
      <c r="H8" s="155"/>
      <c r="I8" s="155"/>
      <c r="J8" s="155"/>
      <c r="K8" s="155"/>
      <c r="L8" s="155"/>
      <c r="M8" s="155"/>
    </row>
    <row r="9" spans="1:13" x14ac:dyDescent="0.2">
      <c r="A9" s="24"/>
      <c r="B9" s="30"/>
      <c r="C9" s="30"/>
    </row>
    <row r="10" spans="1:13" x14ac:dyDescent="0.2">
      <c r="A10" s="24"/>
      <c r="B10" s="30"/>
      <c r="C10" s="30"/>
    </row>
    <row r="11" spans="1:13" x14ac:dyDescent="0.2">
      <c r="A11" s="24"/>
      <c r="B11" s="30"/>
      <c r="C11" s="30"/>
      <c r="K11" t="s">
        <v>295</v>
      </c>
    </row>
    <row r="13" spans="1:13" x14ac:dyDescent="0.2">
      <c r="A13" s="153" t="s">
        <v>193</v>
      </c>
      <c r="B13" s="153"/>
      <c r="C13" s="153"/>
      <c r="D13" s="153"/>
      <c r="E13" s="153"/>
      <c r="F13" s="153"/>
      <c r="G13" s="153"/>
      <c r="H13" s="153"/>
      <c r="I13" s="153"/>
      <c r="J13" s="153"/>
      <c r="K13" s="153"/>
      <c r="L13" s="153"/>
      <c r="M13" s="153"/>
    </row>
    <row r="14" spans="1:13" x14ac:dyDescent="0.2">
      <c r="A14" t="s">
        <v>0</v>
      </c>
      <c r="B14" s="1" t="s">
        <v>37</v>
      </c>
      <c r="C14" s="1" t="s">
        <v>191</v>
      </c>
      <c r="D14" s="1" t="s">
        <v>47</v>
      </c>
      <c r="E14" s="24" t="s">
        <v>48</v>
      </c>
      <c r="F14" s="24" t="s">
        <v>49</v>
      </c>
      <c r="G14" s="24" t="s">
        <v>33</v>
      </c>
      <c r="J14" s="2" t="s">
        <v>8</v>
      </c>
      <c r="K14" s="3" t="s">
        <v>9</v>
      </c>
      <c r="L14" s="4" t="s">
        <v>35</v>
      </c>
    </row>
    <row r="15" spans="1:13" ht="17" x14ac:dyDescent="0.2">
      <c r="A15" s="24" t="s">
        <v>313</v>
      </c>
      <c r="B15" s="30" t="s">
        <v>51</v>
      </c>
      <c r="C15" s="30" t="s">
        <v>199</v>
      </c>
      <c r="D15" s="35">
        <v>0.51300000000000001</v>
      </c>
      <c r="E15" s="76" t="s">
        <v>12</v>
      </c>
      <c r="F15" s="77">
        <v>1.5656275455485714E-4</v>
      </c>
      <c r="G15" s="77">
        <v>4.9354542978331415E-4</v>
      </c>
      <c r="J15" s="7" t="s">
        <v>13</v>
      </c>
      <c r="K15" s="8">
        <f>AVERAGE(E17:F17)</f>
        <v>1.1663589726096588E-2</v>
      </c>
      <c r="L15" s="9">
        <f>E16</f>
        <v>1.1919736559876299E-3</v>
      </c>
      <c r="M15">
        <f>L15/K15</f>
        <v>0.1021961234902373</v>
      </c>
    </row>
    <row r="16" spans="1:13" ht="17" x14ac:dyDescent="0.2">
      <c r="A16" s="24" t="s">
        <v>314</v>
      </c>
      <c r="B16" s="30" t="s">
        <v>51</v>
      </c>
      <c r="C16" s="30" t="s">
        <v>200</v>
      </c>
      <c r="D16" s="35">
        <v>0.48383999999999999</v>
      </c>
      <c r="E16" s="76">
        <v>1.1919736559876299E-3</v>
      </c>
      <c r="F16" s="77" t="s">
        <v>12</v>
      </c>
      <c r="G16" s="77">
        <v>4.9268662929011317E-4</v>
      </c>
      <c r="J16" s="7" t="s">
        <v>14</v>
      </c>
      <c r="K16" s="8">
        <v>6</v>
      </c>
      <c r="L16" s="11">
        <f>L15/(2*L17)</f>
        <v>0.61317674094142383</v>
      </c>
    </row>
    <row r="17" spans="1:13" x14ac:dyDescent="0.2">
      <c r="A17" s="24" t="s">
        <v>33</v>
      </c>
      <c r="B17" s="30" t="s">
        <v>38</v>
      </c>
      <c r="C17" s="30" t="s">
        <v>209</v>
      </c>
      <c r="E17" s="76">
        <v>1.1684266689938367E-2</v>
      </c>
      <c r="F17" s="76">
        <v>1.1642912762254806E-2</v>
      </c>
      <c r="G17" s="77" t="s">
        <v>12</v>
      </c>
      <c r="J17" s="7" t="s">
        <v>15</v>
      </c>
      <c r="K17" s="10">
        <f>K15/(2*K16)</f>
        <v>9.71965810508049E-4</v>
      </c>
      <c r="L17" s="13">
        <f>$K17</f>
        <v>9.71965810508049E-4</v>
      </c>
    </row>
    <row r="18" spans="1:13" x14ac:dyDescent="0.2">
      <c r="A18" s="24" t="s">
        <v>69</v>
      </c>
      <c r="B18" s="30" t="s">
        <v>70</v>
      </c>
      <c r="C18" s="30" t="s">
        <v>201</v>
      </c>
      <c r="J18" s="14" t="s">
        <v>17</v>
      </c>
      <c r="K18" s="15"/>
      <c r="L18" s="16"/>
    </row>
    <row r="19" spans="1:13" x14ac:dyDescent="0.2">
      <c r="J19" s="7" t="s">
        <v>18</v>
      </c>
      <c r="K19" s="32">
        <f>F15/(2*$K$17)</f>
        <v>8.0539229292963185E-2</v>
      </c>
      <c r="L19" s="18">
        <f>(E16+F15)/(2*$K$17)</f>
        <v>0.69371597023438702</v>
      </c>
      <c r="M19">
        <f>F15/K15</f>
        <v>1.3423204882160531E-2</v>
      </c>
    </row>
    <row r="20" spans="1:13" x14ac:dyDescent="0.2">
      <c r="J20" s="19" t="s">
        <v>19</v>
      </c>
      <c r="K20" s="20"/>
      <c r="L20" s="22">
        <f>(E16-F15)/(2*$K$17)</f>
        <v>0.53263751164846052</v>
      </c>
    </row>
    <row r="21" spans="1:13" ht="50" customHeight="1" x14ac:dyDescent="0.2">
      <c r="A21" s="154" t="s">
        <v>317</v>
      </c>
      <c r="B21" s="154"/>
      <c r="C21" s="154"/>
      <c r="D21" s="154"/>
      <c r="E21" s="154"/>
      <c r="F21" s="154"/>
      <c r="G21" s="154"/>
      <c r="H21" s="154"/>
      <c r="I21" s="154"/>
      <c r="J21" s="154"/>
      <c r="K21" s="154"/>
      <c r="L21" s="154"/>
    </row>
    <row r="23" spans="1:13" x14ac:dyDescent="0.2">
      <c r="A23" s="153" t="s">
        <v>315</v>
      </c>
      <c r="B23" s="153"/>
      <c r="C23" s="153"/>
      <c r="D23" s="153"/>
      <c r="E23" s="153"/>
      <c r="F23" s="153"/>
      <c r="G23" s="153"/>
      <c r="H23" s="153"/>
      <c r="I23" s="153"/>
      <c r="J23" s="153"/>
      <c r="K23" s="153"/>
      <c r="L23" s="153"/>
      <c r="M23" s="153"/>
    </row>
    <row r="24" spans="1:13" x14ac:dyDescent="0.2">
      <c r="A24" t="s">
        <v>0</v>
      </c>
      <c r="B24" s="1" t="s">
        <v>37</v>
      </c>
      <c r="C24" s="1" t="s">
        <v>191</v>
      </c>
      <c r="D24" s="1" t="s">
        <v>47</v>
      </c>
      <c r="E24" s="24" t="s">
        <v>48</v>
      </c>
      <c r="F24" s="24" t="s">
        <v>49</v>
      </c>
      <c r="G24" s="24" t="s">
        <v>33</v>
      </c>
      <c r="J24" s="2" t="s">
        <v>8</v>
      </c>
      <c r="K24" s="3" t="s">
        <v>9</v>
      </c>
      <c r="L24" s="4" t="s">
        <v>35</v>
      </c>
    </row>
    <row r="25" spans="1:13" ht="17" x14ac:dyDescent="0.2">
      <c r="A25" s="24" t="s">
        <v>313</v>
      </c>
      <c r="B25" s="30" t="s">
        <v>51</v>
      </c>
      <c r="C25" s="30" t="s">
        <v>199</v>
      </c>
      <c r="D25" s="35">
        <v>0.49554999999999999</v>
      </c>
      <c r="E25" s="76" t="s">
        <v>12</v>
      </c>
      <c r="F25" s="77">
        <v>1.7368743260385544E-4</v>
      </c>
      <c r="G25" s="77">
        <v>5.2474929985221166E-4</v>
      </c>
      <c r="J25" s="7" t="s">
        <v>13</v>
      </c>
      <c r="K25" s="8">
        <f>AVERAGE(E27:F27)</f>
        <v>1.1882251709558072E-2</v>
      </c>
      <c r="L25" s="9">
        <f>E26</f>
        <v>1.3223052566484269E-3</v>
      </c>
      <c r="M25">
        <f>L25/K25</f>
        <v>0.1112840637422927</v>
      </c>
    </row>
    <row r="26" spans="1:13" ht="17" x14ac:dyDescent="0.2">
      <c r="A26" s="24" t="s">
        <v>314</v>
      </c>
      <c r="B26" s="30" t="s">
        <v>51</v>
      </c>
      <c r="C26" s="30" t="s">
        <v>200</v>
      </c>
      <c r="D26" s="35">
        <v>0.46579999999999999</v>
      </c>
      <c r="E26" s="76">
        <v>1.3223052566484269E-3</v>
      </c>
      <c r="F26" s="77" t="s">
        <v>12</v>
      </c>
      <c r="G26" s="77">
        <v>5.2375496643012318E-4</v>
      </c>
      <c r="J26" s="7" t="s">
        <v>14</v>
      </c>
      <c r="K26" s="8">
        <v>6</v>
      </c>
      <c r="L26" s="11">
        <f>L25/(2*L27)</f>
        <v>0.66770438245375618</v>
      </c>
    </row>
    <row r="27" spans="1:13" x14ac:dyDescent="0.2">
      <c r="A27" s="24" t="s">
        <v>33</v>
      </c>
      <c r="B27" s="30" t="s">
        <v>38</v>
      </c>
      <c r="C27" s="30" t="s">
        <v>209</v>
      </c>
      <c r="E27" s="76">
        <v>1.1905192224866431E-2</v>
      </c>
      <c r="F27" s="76">
        <v>1.1859311194249711E-2</v>
      </c>
      <c r="G27" s="77" t="s">
        <v>12</v>
      </c>
      <c r="J27" s="7" t="s">
        <v>15</v>
      </c>
      <c r="K27" s="10">
        <f>K25/(2*K26)</f>
        <v>9.9018764246317273E-4</v>
      </c>
      <c r="L27" s="13">
        <f>$K27</f>
        <v>9.9018764246317273E-4</v>
      </c>
    </row>
    <row r="28" spans="1:13" x14ac:dyDescent="0.2">
      <c r="A28" s="24" t="s">
        <v>69</v>
      </c>
      <c r="B28" s="30" t="s">
        <v>70</v>
      </c>
      <c r="C28" s="30" t="s">
        <v>201</v>
      </c>
      <c r="J28" s="14" t="s">
        <v>17</v>
      </c>
      <c r="K28" s="15"/>
      <c r="L28" s="16"/>
    </row>
    <row r="29" spans="1:13" x14ac:dyDescent="0.2">
      <c r="J29" s="7" t="s">
        <v>18</v>
      </c>
      <c r="K29" s="32">
        <f>F25/(2*$K$17)</f>
        <v>8.9348529920547606E-2</v>
      </c>
      <c r="L29" s="18">
        <f>(E26+F25)/(2*$K$17)</f>
        <v>0.7695706335958068</v>
      </c>
      <c r="M29">
        <f>F25/K25</f>
        <v>1.4617383712225304E-2</v>
      </c>
    </row>
    <row r="30" spans="1:13" x14ac:dyDescent="0.2">
      <c r="J30" s="19" t="s">
        <v>19</v>
      </c>
      <c r="K30" s="20"/>
      <c r="L30" s="22">
        <f>(E26-F25)/(2*$K$17)</f>
        <v>0.59087357375471161</v>
      </c>
    </row>
    <row r="31" spans="1:13" ht="50" customHeight="1" x14ac:dyDescent="0.2">
      <c r="A31" s="154" t="s">
        <v>316</v>
      </c>
      <c r="B31" s="154"/>
      <c r="C31" s="154"/>
      <c r="D31" s="154"/>
      <c r="E31" s="154"/>
      <c r="F31" s="154"/>
      <c r="G31" s="154"/>
      <c r="H31" s="154"/>
      <c r="I31" s="154"/>
      <c r="J31" s="154"/>
      <c r="K31" s="154"/>
      <c r="L31" s="154"/>
    </row>
  </sheetData>
  <mergeCells count="6">
    <mergeCell ref="A31:L31"/>
    <mergeCell ref="A21:L21"/>
    <mergeCell ref="A1:M1"/>
    <mergeCell ref="A13:M13"/>
    <mergeCell ref="A7:M8"/>
    <mergeCell ref="A23:M23"/>
  </mergeCells>
  <pageMargins left="0.75" right="0.75" top="1" bottom="1" header="0.5" footer="0.5"/>
  <pageSetup orientation="portrait" horizontalDpi="4294967292" verticalDpi="429496729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workbookViewId="0">
      <selection activeCell="G21" sqref="G21"/>
    </sheetView>
  </sheetViews>
  <sheetFormatPr baseColWidth="10" defaultRowHeight="14" x14ac:dyDescent="0.15"/>
  <cols>
    <col min="1" max="1" width="16.5" style="78" customWidth="1"/>
    <col min="2" max="2" width="20" style="79" customWidth="1"/>
    <col min="3" max="3" width="19.6640625" style="79" bestFit="1" customWidth="1"/>
    <col min="4" max="4" width="14.6640625" style="79" customWidth="1"/>
    <col min="5" max="5" width="11" style="78" customWidth="1"/>
    <col min="6" max="6" width="13.1640625" style="78" customWidth="1"/>
    <col min="7" max="7" width="12.6640625" style="78" bestFit="1" customWidth="1"/>
    <col min="8" max="8" width="11.6640625" style="78" bestFit="1" customWidth="1"/>
    <col min="9" max="9" width="11" style="78" bestFit="1" customWidth="1"/>
    <col min="10" max="10" width="10.83203125" style="78"/>
    <col min="11" max="11" width="19.1640625" style="78" bestFit="1" customWidth="1"/>
    <col min="12" max="12" width="13.33203125" style="78" bestFit="1" customWidth="1"/>
    <col min="13" max="14" width="8" style="78" bestFit="1" customWidth="1"/>
    <col min="15" max="16384" width="10.83203125" style="78"/>
  </cols>
  <sheetData>
    <row r="1" spans="1:14" x14ac:dyDescent="0.15">
      <c r="A1" s="152" t="s">
        <v>210</v>
      </c>
      <c r="B1" s="152"/>
      <c r="C1" s="152"/>
      <c r="D1" s="152"/>
      <c r="E1" s="152"/>
      <c r="F1" s="152"/>
      <c r="G1" s="152"/>
      <c r="H1" s="152"/>
      <c r="I1" s="152"/>
      <c r="J1" s="152"/>
      <c r="K1" s="152"/>
      <c r="L1" s="152"/>
      <c r="M1" s="152"/>
      <c r="N1" s="152"/>
    </row>
    <row r="2" spans="1:14" x14ac:dyDescent="0.15">
      <c r="B2" s="79" t="s">
        <v>37</v>
      </c>
      <c r="C2" s="79" t="s">
        <v>187</v>
      </c>
      <c r="D2" s="79" t="s">
        <v>218</v>
      </c>
      <c r="E2" s="79" t="s">
        <v>217</v>
      </c>
      <c r="F2" s="79" t="s">
        <v>325</v>
      </c>
      <c r="G2" s="79" t="s">
        <v>326</v>
      </c>
      <c r="H2" s="79" t="s">
        <v>33</v>
      </c>
      <c r="K2" s="86" t="s">
        <v>8</v>
      </c>
      <c r="L2" s="87" t="s">
        <v>9</v>
      </c>
      <c r="M2" s="88" t="s">
        <v>35</v>
      </c>
    </row>
    <row r="3" spans="1:14" x14ac:dyDescent="0.15">
      <c r="A3" s="110" t="s">
        <v>325</v>
      </c>
      <c r="B3" s="111" t="s">
        <v>212</v>
      </c>
      <c r="C3" s="118" t="s">
        <v>215</v>
      </c>
      <c r="D3" s="117">
        <v>0.41572999999999999</v>
      </c>
      <c r="E3" s="117">
        <v>4.9730000000000003E-2</v>
      </c>
      <c r="F3" s="112" t="s">
        <v>12</v>
      </c>
      <c r="G3" s="113">
        <v>1.2339346833162941E-4</v>
      </c>
      <c r="H3" s="113">
        <v>3.5008980874266056E-4</v>
      </c>
      <c r="K3" s="89" t="s">
        <v>13</v>
      </c>
      <c r="L3" s="90">
        <f>AVERAGE(F5:G5)</f>
        <v>1.4898821298653737E-2</v>
      </c>
      <c r="M3" s="91">
        <f>F4</f>
        <v>1.8823405947171899E-3</v>
      </c>
    </row>
    <row r="4" spans="1:14" x14ac:dyDescent="0.15">
      <c r="A4" s="110" t="s">
        <v>326</v>
      </c>
      <c r="B4" s="111" t="s">
        <v>213</v>
      </c>
      <c r="C4" s="111" t="s">
        <v>16</v>
      </c>
      <c r="D4" s="117">
        <v>0.47809000000000001</v>
      </c>
      <c r="E4" s="117">
        <v>4.2799999999999998E-2</v>
      </c>
      <c r="F4" s="112">
        <v>1.8823405947171899E-3</v>
      </c>
      <c r="G4" s="112" t="s">
        <v>12</v>
      </c>
      <c r="H4" s="113">
        <v>3.5011593380946819E-4</v>
      </c>
      <c r="K4" s="89" t="s">
        <v>14</v>
      </c>
      <c r="L4" s="90">
        <v>6</v>
      </c>
      <c r="M4" s="92">
        <f>M3/(2*M5)</f>
        <v>0.75804946860619593</v>
      </c>
      <c r="N4" s="78">
        <f>M3/L3</f>
        <v>0.12634157810103266</v>
      </c>
    </row>
    <row r="5" spans="1:14" x14ac:dyDescent="0.15">
      <c r="A5" s="110" t="s">
        <v>33</v>
      </c>
      <c r="B5" s="111" t="s">
        <v>211</v>
      </c>
      <c r="C5" s="111" t="s">
        <v>16</v>
      </c>
      <c r="E5" s="114"/>
      <c r="F5" s="112">
        <v>1.4898545286455967E-2</v>
      </c>
      <c r="G5" s="112">
        <v>1.4899097310851508E-2</v>
      </c>
      <c r="H5" s="112" t="s">
        <v>12</v>
      </c>
      <c r="K5" s="89" t="s">
        <v>15</v>
      </c>
      <c r="L5" s="93">
        <f>L3/(2*L4)</f>
        <v>1.2415684415544781E-3</v>
      </c>
      <c r="M5" s="91">
        <f>$L5</f>
        <v>1.2415684415544781E-3</v>
      </c>
    </row>
    <row r="6" spans="1:14" x14ac:dyDescent="0.15">
      <c r="A6" s="110" t="s">
        <v>53</v>
      </c>
      <c r="B6" s="79" t="s">
        <v>216</v>
      </c>
      <c r="C6" s="79" t="s">
        <v>16</v>
      </c>
      <c r="K6" s="94" t="s">
        <v>17</v>
      </c>
      <c r="L6" s="95"/>
      <c r="M6" s="96"/>
    </row>
    <row r="7" spans="1:14" x14ac:dyDescent="0.15">
      <c r="A7" s="110" t="s">
        <v>69</v>
      </c>
      <c r="B7" s="79" t="s">
        <v>214</v>
      </c>
      <c r="C7" s="79" t="s">
        <v>16</v>
      </c>
      <c r="K7" s="89" t="s">
        <v>18</v>
      </c>
      <c r="L7" s="97">
        <f>G3/(2*$L$5)</f>
        <v>4.9692576019867811E-2</v>
      </c>
      <c r="M7" s="98">
        <f>(F4+G3)/(2*$L$5)</f>
        <v>0.80774204462606369</v>
      </c>
      <c r="N7" s="78">
        <f>G3/L3</f>
        <v>8.2820960033113018E-3</v>
      </c>
    </row>
    <row r="8" spans="1:14" x14ac:dyDescent="0.15">
      <c r="K8" s="99" t="s">
        <v>19</v>
      </c>
      <c r="L8" s="100"/>
      <c r="M8" s="101">
        <f>(F4-G3)/(2*$L$5)</f>
        <v>0.70835689258632817</v>
      </c>
    </row>
    <row r="9" spans="1:14" ht="46" customHeight="1" x14ac:dyDescent="0.15">
      <c r="A9" s="156" t="s">
        <v>36</v>
      </c>
      <c r="B9" s="156"/>
      <c r="C9" s="156"/>
      <c r="D9" s="156"/>
      <c r="E9" s="156"/>
      <c r="F9" s="156"/>
      <c r="G9" s="156"/>
      <c r="H9" s="156"/>
      <c r="I9" s="156"/>
      <c r="J9" s="156"/>
      <c r="K9" s="156"/>
      <c r="L9" s="156"/>
      <c r="M9" s="156"/>
      <c r="N9" s="156"/>
    </row>
    <row r="11" spans="1:14" x14ac:dyDescent="0.15">
      <c r="A11" s="115"/>
      <c r="B11" s="116"/>
      <c r="C11" s="116"/>
      <c r="D11" s="116"/>
    </row>
  </sheetData>
  <mergeCells count="2">
    <mergeCell ref="A1:N1"/>
    <mergeCell ref="A9:N9"/>
  </mergeCells>
  <pageMargins left="0.75" right="0.75" top="1" bottom="1" header="0.5" footer="0.5"/>
  <pageSetup orientation="portrait" horizontalDpi="4294967292" verticalDpi="429496729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8"/>
  <sheetViews>
    <sheetView workbookViewId="0">
      <selection activeCell="E82" sqref="E82"/>
    </sheetView>
  </sheetViews>
  <sheetFormatPr baseColWidth="10" defaultRowHeight="16" x14ac:dyDescent="0.2"/>
  <cols>
    <col min="1" max="1" width="8.5" bestFit="1" customWidth="1"/>
    <col min="2" max="2" width="14.1640625" style="1" customWidth="1"/>
    <col min="3" max="3" width="25.1640625" style="1" bestFit="1" customWidth="1"/>
    <col min="4" max="4" width="17.1640625" style="1" bestFit="1" customWidth="1"/>
    <col min="5" max="10" width="10.83203125" style="1"/>
    <col min="12" max="12" width="17.6640625" style="1" bestFit="1" customWidth="1"/>
    <col min="13" max="13" width="12.5" style="1" bestFit="1" customWidth="1"/>
    <col min="14" max="14" width="10.83203125" style="1"/>
    <col min="15" max="15" width="10.83203125" style="1" customWidth="1"/>
  </cols>
  <sheetData>
    <row r="1" spans="1:17" x14ac:dyDescent="0.2">
      <c r="A1" s="153" t="s">
        <v>220</v>
      </c>
      <c r="B1" s="153"/>
      <c r="C1" s="153"/>
      <c r="D1" s="153"/>
      <c r="E1" s="153"/>
      <c r="F1" s="153"/>
      <c r="G1" s="153"/>
      <c r="H1" s="153"/>
      <c r="I1" s="153"/>
      <c r="J1" s="153"/>
      <c r="K1" s="153"/>
      <c r="L1" s="153"/>
      <c r="M1" s="153"/>
      <c r="N1" s="153"/>
      <c r="O1" s="153"/>
      <c r="P1" s="153"/>
      <c r="Q1" s="153"/>
    </row>
    <row r="2" spans="1:17" x14ac:dyDescent="0.2">
      <c r="A2" t="s">
        <v>0</v>
      </c>
      <c r="B2" s="1" t="s">
        <v>37</v>
      </c>
      <c r="C2" s="1" t="s">
        <v>190</v>
      </c>
      <c r="D2" s="1" t="s">
        <v>1</v>
      </c>
      <c r="E2" s="1" t="s">
        <v>2</v>
      </c>
      <c r="F2" s="1" t="s">
        <v>3</v>
      </c>
      <c r="G2" s="1" t="s">
        <v>4</v>
      </c>
      <c r="H2" s="1" t="s">
        <v>5</v>
      </c>
      <c r="L2" s="2" t="s">
        <v>8</v>
      </c>
      <c r="M2" s="3" t="s">
        <v>9</v>
      </c>
      <c r="N2" s="3" t="s">
        <v>10</v>
      </c>
      <c r="O2" s="4" t="s">
        <v>11</v>
      </c>
    </row>
    <row r="3" spans="1:17" x14ac:dyDescent="0.2">
      <c r="A3" t="s">
        <v>2</v>
      </c>
      <c r="B3" s="1" t="s">
        <v>54</v>
      </c>
      <c r="C3" s="108" t="s">
        <v>222</v>
      </c>
      <c r="D3" s="1">
        <v>0.89812000000000003</v>
      </c>
      <c r="E3" s="76" t="s">
        <v>12</v>
      </c>
      <c r="F3" s="77">
        <v>2.2004670194154379E-4</v>
      </c>
      <c r="G3" s="77">
        <v>3.2435242728501951E-4</v>
      </c>
      <c r="H3" s="77">
        <v>5.6176256852648928E-4</v>
      </c>
      <c r="I3" s="6"/>
      <c r="J3" s="6"/>
      <c r="L3" s="7" t="s">
        <v>13</v>
      </c>
      <c r="M3" s="8">
        <f>AVERAGE(E6:G6)</f>
        <v>1.0870642943415656E-2</v>
      </c>
      <c r="N3" s="8">
        <f>AVERAGE(E5:F5)</f>
        <v>3.3978414677893528E-3</v>
      </c>
      <c r="O3" s="9">
        <f>E4</f>
        <v>1.717895926601067E-3</v>
      </c>
      <c r="P3" s="1">
        <f>N3/M3</f>
        <v>0.31257042343088126</v>
      </c>
      <c r="Q3" s="1">
        <f>O3/M3</f>
        <v>0.15803075637228944</v>
      </c>
    </row>
    <row r="4" spans="1:17" x14ac:dyDescent="0.2">
      <c r="A4" t="s">
        <v>3</v>
      </c>
      <c r="B4" s="1" t="s">
        <v>54</v>
      </c>
      <c r="C4" s="1" t="s">
        <v>55</v>
      </c>
      <c r="D4" s="1">
        <v>0.74429999999999996</v>
      </c>
      <c r="E4" s="76">
        <v>1.717895926601067E-3</v>
      </c>
      <c r="F4" s="77" t="s">
        <v>12</v>
      </c>
      <c r="G4" s="77">
        <v>2.9451457325638865E-4</v>
      </c>
      <c r="H4" s="77">
        <v>5.5649786328447308E-4</v>
      </c>
      <c r="I4" s="6"/>
      <c r="J4" s="6"/>
      <c r="L4" s="7" t="s">
        <v>14</v>
      </c>
      <c r="M4" s="8">
        <v>6</v>
      </c>
      <c r="N4" s="10">
        <f>N3/(2*N5)</f>
        <v>1.8754225405852873</v>
      </c>
      <c r="O4" s="11">
        <f>O3/(2*O5)</f>
        <v>0.94818453823373672</v>
      </c>
      <c r="P4" s="1">
        <f>AVERAGE(G3:G4)/M3</f>
        <v>2.8465059691628256E-2</v>
      </c>
      <c r="Q4" s="1">
        <f>F3/M3</f>
        <v>2.024228953953694E-2</v>
      </c>
    </row>
    <row r="5" spans="1:17" x14ac:dyDescent="0.2">
      <c r="A5" t="s">
        <v>4</v>
      </c>
      <c r="B5" s="1" t="s">
        <v>54</v>
      </c>
      <c r="C5" s="1" t="s">
        <v>55</v>
      </c>
      <c r="D5" s="1">
        <v>0.65205000000000002</v>
      </c>
      <c r="E5" s="76">
        <v>3.7230412625540556E-3</v>
      </c>
      <c r="F5" s="76">
        <v>3.0726416730246504E-3</v>
      </c>
      <c r="G5" s="77" t="s">
        <v>12</v>
      </c>
      <c r="H5" s="77">
        <v>5.5207520967095395E-4</v>
      </c>
      <c r="I5" s="6"/>
      <c r="J5" s="6"/>
      <c r="L5" s="7" t="s">
        <v>15</v>
      </c>
      <c r="M5" s="10">
        <f>M3/(2*M4)</f>
        <v>9.0588691195130468E-4</v>
      </c>
      <c r="N5" s="12">
        <f>$M5</f>
        <v>9.0588691195130468E-4</v>
      </c>
      <c r="O5" s="13">
        <f>$M5</f>
        <v>9.0588691195130468E-4</v>
      </c>
    </row>
    <row r="6" spans="1:17" x14ac:dyDescent="0.2">
      <c r="A6" t="s">
        <v>5</v>
      </c>
      <c r="B6" s="1" t="s">
        <v>40</v>
      </c>
      <c r="C6" s="1" t="s">
        <v>16</v>
      </c>
      <c r="D6" s="1" t="s">
        <v>16</v>
      </c>
      <c r="E6" s="76">
        <v>1.1061676021757678E-2</v>
      </c>
      <c r="F6" s="76">
        <v>1.0860648284554521E-2</v>
      </c>
      <c r="G6" s="76">
        <v>1.0689604523934767E-2</v>
      </c>
      <c r="H6" s="77" t="s">
        <v>12</v>
      </c>
      <c r="I6" s="6"/>
      <c r="J6" s="6"/>
      <c r="L6" s="14" t="s">
        <v>17</v>
      </c>
      <c r="M6" s="15"/>
      <c r="N6" s="15"/>
      <c r="O6" s="16"/>
    </row>
    <row r="7" spans="1:17" x14ac:dyDescent="0.2">
      <c r="A7" t="s">
        <v>6</v>
      </c>
      <c r="B7" s="1" t="s">
        <v>45</v>
      </c>
      <c r="C7" s="1" t="s">
        <v>16</v>
      </c>
      <c r="D7" s="1" t="s">
        <v>16</v>
      </c>
      <c r="E7" s="5"/>
      <c r="F7" s="5"/>
      <c r="G7" s="5"/>
      <c r="H7" s="5"/>
      <c r="I7" s="5"/>
      <c r="J7" s="6"/>
      <c r="L7" s="7" t="s">
        <v>18</v>
      </c>
      <c r="M7" s="15"/>
      <c r="N7" s="17">
        <f>AVERAGE((E5+G3),(F5+G4))/(2*N5)</f>
        <v>2.0462128987350572</v>
      </c>
      <c r="O7" s="18">
        <f>(E4+F3)/(2*O5)</f>
        <v>1.0696382754709584</v>
      </c>
    </row>
    <row r="8" spans="1:17" x14ac:dyDescent="0.2">
      <c r="A8" t="s">
        <v>7</v>
      </c>
      <c r="B8" s="1" t="s">
        <v>46</v>
      </c>
      <c r="C8" s="1" t="s">
        <v>16</v>
      </c>
      <c r="D8" s="1" t="s">
        <v>16</v>
      </c>
      <c r="E8" s="5"/>
      <c r="F8" s="5"/>
      <c r="G8" s="5"/>
      <c r="H8" s="5"/>
      <c r="I8" s="5"/>
      <c r="J8" s="5"/>
      <c r="L8" s="19" t="s">
        <v>19</v>
      </c>
      <c r="M8" s="20"/>
      <c r="N8" s="21">
        <f>AVERAGE((E5-G3),(F5-G4))/(2*N5)</f>
        <v>1.7046321824355182</v>
      </c>
      <c r="O8" s="22">
        <f>(E4-F3)/(2*O5)</f>
        <v>0.82673080099651508</v>
      </c>
    </row>
    <row r="9" spans="1:17" x14ac:dyDescent="0.2">
      <c r="E9" s="5"/>
      <c r="F9" s="5"/>
      <c r="G9" s="5"/>
      <c r="H9" s="5"/>
      <c r="I9" s="5"/>
      <c r="J9" s="5"/>
      <c r="L9" s="15"/>
      <c r="M9" s="15"/>
      <c r="N9" s="17"/>
      <c r="O9" s="17"/>
    </row>
    <row r="10" spans="1:17" ht="32" customHeight="1" x14ac:dyDescent="0.2">
      <c r="A10" s="150" t="s">
        <v>219</v>
      </c>
      <c r="B10" s="150"/>
      <c r="C10" s="150"/>
      <c r="D10" s="150"/>
      <c r="E10" s="150"/>
      <c r="F10" s="150"/>
      <c r="G10" s="150"/>
      <c r="H10" s="150"/>
      <c r="I10" s="150"/>
      <c r="J10" s="150"/>
      <c r="K10" s="150"/>
      <c r="L10" s="150"/>
      <c r="M10" s="150"/>
      <c r="N10" s="150"/>
      <c r="O10" s="150"/>
      <c r="P10" s="150"/>
      <c r="Q10" s="150"/>
    </row>
    <row r="11" spans="1:17" x14ac:dyDescent="0.2">
      <c r="E11" s="5"/>
      <c r="F11" s="5"/>
      <c r="G11" s="5"/>
      <c r="H11" s="5"/>
      <c r="I11" s="5"/>
      <c r="J11" s="5"/>
      <c r="L11" s="15"/>
      <c r="M11" s="15"/>
      <c r="N11" s="17"/>
      <c r="O11" s="17"/>
    </row>
    <row r="12" spans="1:17" x14ac:dyDescent="0.2">
      <c r="E12" s="5"/>
      <c r="F12" s="5"/>
      <c r="G12" s="5"/>
      <c r="H12" s="5"/>
      <c r="I12" s="5"/>
      <c r="J12" s="5"/>
      <c r="L12" s="15"/>
      <c r="M12" s="15"/>
      <c r="N12" s="17"/>
      <c r="O12" s="17"/>
    </row>
    <row r="13" spans="1:17" x14ac:dyDescent="0.2">
      <c r="E13" s="5"/>
      <c r="F13" s="5"/>
      <c r="G13" s="5"/>
      <c r="H13" s="5"/>
      <c r="I13" s="5"/>
      <c r="J13" s="5"/>
      <c r="L13" s="15"/>
      <c r="M13" s="15"/>
      <c r="N13" s="17"/>
      <c r="O13" s="17"/>
    </row>
    <row r="14" spans="1:17" x14ac:dyDescent="0.2">
      <c r="E14" s="5"/>
      <c r="F14" s="5"/>
      <c r="G14" s="5"/>
      <c r="H14" s="5"/>
      <c r="I14" s="5"/>
      <c r="J14" s="5"/>
      <c r="L14" s="15"/>
      <c r="M14" s="15"/>
      <c r="N14" s="17"/>
      <c r="O14" s="17"/>
    </row>
    <row r="15" spans="1:17" x14ac:dyDescent="0.2">
      <c r="E15" s="5"/>
      <c r="F15" s="5"/>
      <c r="G15" s="5"/>
      <c r="H15" s="5"/>
      <c r="I15" s="5"/>
      <c r="J15" s="5"/>
      <c r="L15" s="15"/>
      <c r="M15" s="15"/>
      <c r="N15" s="17"/>
      <c r="O15" s="17"/>
    </row>
    <row r="16" spans="1:17" x14ac:dyDescent="0.2">
      <c r="E16" s="5"/>
      <c r="F16" s="5"/>
      <c r="G16" s="5"/>
      <c r="H16" s="5"/>
      <c r="I16" s="5"/>
      <c r="J16" s="5"/>
      <c r="L16" s="15"/>
      <c r="M16" s="15"/>
      <c r="N16" s="17"/>
      <c r="O16" s="17"/>
    </row>
    <row r="17" spans="1:17" x14ac:dyDescent="0.2">
      <c r="E17" s="5"/>
      <c r="F17" s="5"/>
      <c r="G17" s="5"/>
      <c r="H17" s="5"/>
      <c r="I17" s="5"/>
      <c r="J17" s="5"/>
      <c r="L17" s="15"/>
      <c r="M17" s="15"/>
      <c r="N17" s="17"/>
      <c r="O17" s="17"/>
    </row>
    <row r="18" spans="1:17" x14ac:dyDescent="0.2">
      <c r="E18" s="5"/>
      <c r="F18" s="5"/>
      <c r="G18" s="5"/>
      <c r="H18" s="5"/>
      <c r="I18" s="5"/>
      <c r="J18" s="5"/>
      <c r="L18" s="15"/>
      <c r="M18" s="15"/>
      <c r="N18" s="17"/>
      <c r="O18" s="17"/>
    </row>
    <row r="19" spans="1:17" x14ac:dyDescent="0.2">
      <c r="E19" s="5"/>
      <c r="F19" s="5"/>
      <c r="G19" s="5"/>
      <c r="H19" s="5"/>
      <c r="I19" s="5"/>
      <c r="J19" s="5"/>
      <c r="L19" s="15"/>
      <c r="M19" s="15"/>
      <c r="N19" s="17"/>
      <c r="O19" s="17"/>
    </row>
    <row r="20" spans="1:17" x14ac:dyDescent="0.2">
      <c r="E20" s="5"/>
      <c r="F20" s="5"/>
      <c r="G20" s="5"/>
      <c r="H20" s="5"/>
      <c r="I20" s="5"/>
      <c r="J20" s="5"/>
      <c r="L20" s="15"/>
      <c r="M20" s="15"/>
      <c r="N20" s="17"/>
      <c r="O20" s="17"/>
    </row>
    <row r="21" spans="1:17" x14ac:dyDescent="0.2">
      <c r="E21" s="5"/>
      <c r="F21" s="5"/>
      <c r="G21" s="5"/>
      <c r="H21" s="5"/>
      <c r="I21" s="5"/>
      <c r="J21" s="5"/>
      <c r="L21" s="15"/>
      <c r="M21" s="15"/>
      <c r="N21" s="17"/>
      <c r="O21" s="17"/>
    </row>
    <row r="22" spans="1:17" x14ac:dyDescent="0.2">
      <c r="E22" s="5"/>
      <c r="F22" s="5"/>
      <c r="G22" s="5"/>
      <c r="H22" s="5"/>
      <c r="I22" s="5"/>
      <c r="J22" s="5"/>
      <c r="L22" s="15"/>
      <c r="M22" s="15"/>
      <c r="N22" s="17"/>
      <c r="O22" s="17"/>
    </row>
    <row r="27" spans="1:17" x14ac:dyDescent="0.2">
      <c r="A27" s="153" t="s">
        <v>221</v>
      </c>
      <c r="B27" s="153"/>
      <c r="C27" s="153"/>
      <c r="D27" s="153"/>
      <c r="E27" s="153"/>
      <c r="F27" s="153"/>
      <c r="G27" s="153"/>
      <c r="H27" s="153"/>
      <c r="I27" s="153"/>
      <c r="J27" s="153"/>
      <c r="K27" s="153"/>
      <c r="L27" s="153"/>
      <c r="M27" s="153"/>
      <c r="N27" s="153"/>
      <c r="O27" s="153"/>
      <c r="P27" s="153"/>
      <c r="Q27" s="153"/>
    </row>
    <row r="28" spans="1:17" s="119" customFormat="1" x14ac:dyDescent="0.2">
      <c r="A28" t="s">
        <v>0</v>
      </c>
      <c r="B28" s="1" t="s">
        <v>37</v>
      </c>
      <c r="C28" s="1" t="s">
        <v>190</v>
      </c>
      <c r="D28" s="1" t="s">
        <v>1</v>
      </c>
      <c r="E28" s="1" t="s">
        <v>20</v>
      </c>
      <c r="F28" s="1" t="s">
        <v>21</v>
      </c>
      <c r="G28" s="1" t="s">
        <v>22</v>
      </c>
      <c r="H28" s="1" t="s">
        <v>5</v>
      </c>
    </row>
    <row r="29" spans="1:17" s="119" customFormat="1" x14ac:dyDescent="0.2">
      <c r="A29" t="s">
        <v>20</v>
      </c>
      <c r="B29" s="1" t="s">
        <v>54</v>
      </c>
      <c r="C29" s="108" t="s">
        <v>223</v>
      </c>
      <c r="D29" s="26">
        <v>0</v>
      </c>
      <c r="E29" s="76" t="s">
        <v>12</v>
      </c>
      <c r="F29" s="77">
        <v>2.627944665501568E-4</v>
      </c>
      <c r="G29" s="77">
        <v>2.4849790560152376E-4</v>
      </c>
      <c r="H29" s="77">
        <v>3.8836718131013734E-4</v>
      </c>
    </row>
    <row r="30" spans="1:17" s="119" customFormat="1" x14ac:dyDescent="0.2">
      <c r="A30" t="s">
        <v>21</v>
      </c>
      <c r="B30" s="1" t="s">
        <v>54</v>
      </c>
      <c r="C30" s="1" t="s">
        <v>55</v>
      </c>
      <c r="D30" s="1">
        <v>0.98016000000000003</v>
      </c>
      <c r="E30" s="76">
        <v>7.1737665503306767E-3</v>
      </c>
      <c r="F30" s="77" t="s">
        <v>12</v>
      </c>
      <c r="G30" s="77">
        <v>1.7601588805685566E-4</v>
      </c>
      <c r="H30" s="77">
        <v>3.4748043489802894E-4</v>
      </c>
    </row>
    <row r="31" spans="1:17" s="119" customFormat="1" x14ac:dyDescent="0.2">
      <c r="A31" t="s">
        <v>22</v>
      </c>
      <c r="B31" s="1" t="s">
        <v>54</v>
      </c>
      <c r="C31" s="1" t="s">
        <v>55</v>
      </c>
      <c r="D31" s="26">
        <v>0</v>
      </c>
      <c r="E31" s="76">
        <v>6.4216961935728489E-3</v>
      </c>
      <c r="F31" s="76">
        <v>3.2325994474218978E-3</v>
      </c>
      <c r="G31" s="77" t="s">
        <v>12</v>
      </c>
      <c r="H31" s="77">
        <v>3.4957161303379524E-4</v>
      </c>
    </row>
    <row r="32" spans="1:17" s="119" customFormat="1" x14ac:dyDescent="0.2">
      <c r="A32" t="s">
        <v>5</v>
      </c>
      <c r="B32" s="1" t="s">
        <v>40</v>
      </c>
      <c r="C32" s="1" t="s">
        <v>16</v>
      </c>
      <c r="D32" s="1" t="s">
        <v>16</v>
      </c>
      <c r="E32" s="76">
        <v>1.549267384133101E-2</v>
      </c>
      <c r="F32" s="76">
        <v>1.2444772149684258E-2</v>
      </c>
      <c r="G32" s="76">
        <v>1.2591140448760689E-2</v>
      </c>
      <c r="H32" s="77" t="s">
        <v>12</v>
      </c>
    </row>
    <row r="33" spans="1:8" s="119" customFormat="1" x14ac:dyDescent="0.2">
      <c r="A33" t="s">
        <v>6</v>
      </c>
      <c r="B33" s="1" t="s">
        <v>45</v>
      </c>
      <c r="C33" s="1" t="s">
        <v>16</v>
      </c>
      <c r="D33" s="1" t="s">
        <v>16</v>
      </c>
      <c r="E33" s="5"/>
      <c r="F33" s="5"/>
      <c r="G33" s="5"/>
      <c r="H33" s="5"/>
    </row>
    <row r="34" spans="1:8" s="119" customFormat="1" x14ac:dyDescent="0.2">
      <c r="A34" t="s">
        <v>7</v>
      </c>
      <c r="B34" s="1" t="s">
        <v>46</v>
      </c>
      <c r="C34" s="1" t="s">
        <v>16</v>
      </c>
      <c r="D34" s="1" t="s">
        <v>16</v>
      </c>
      <c r="E34" s="5"/>
      <c r="F34" s="5"/>
      <c r="G34" s="5"/>
      <c r="H34" s="5"/>
    </row>
    <row r="35" spans="1:8" s="119" customFormat="1" x14ac:dyDescent="0.2"/>
    <row r="36" spans="1:8" s="119" customFormat="1" x14ac:dyDescent="0.2"/>
    <row r="37" spans="1:8" s="119" customFormat="1" x14ac:dyDescent="0.2"/>
    <row r="38" spans="1:8" s="119" customFormat="1" x14ac:dyDescent="0.2"/>
    <row r="39" spans="1:8" s="119" customFormat="1" x14ac:dyDescent="0.2"/>
    <row r="40" spans="1:8" s="119" customFormat="1" x14ac:dyDescent="0.2"/>
    <row r="41" spans="1:8" s="119" customFormat="1" x14ac:dyDescent="0.2"/>
    <row r="42" spans="1:8" s="119" customFormat="1" x14ac:dyDescent="0.2"/>
    <row r="43" spans="1:8" s="119" customFormat="1" x14ac:dyDescent="0.2"/>
    <row r="44" spans="1:8" s="119" customFormat="1" x14ac:dyDescent="0.2"/>
    <row r="45" spans="1:8" s="119" customFormat="1" x14ac:dyDescent="0.2"/>
    <row r="46" spans="1:8" s="119" customFormat="1" x14ac:dyDescent="0.2"/>
    <row r="47" spans="1:8" s="119" customFormat="1" x14ac:dyDescent="0.2"/>
    <row r="48" spans="1:8" s="119" customFormat="1" x14ac:dyDescent="0.2"/>
    <row r="49" spans="1:17" s="119" customFormat="1" x14ac:dyDescent="0.2"/>
    <row r="50" spans="1:17" s="119" customFormat="1" x14ac:dyDescent="0.2"/>
    <row r="51" spans="1:17" s="119" customFormat="1" x14ac:dyDescent="0.2"/>
    <row r="52" spans="1:17" s="119" customFormat="1" x14ac:dyDescent="0.2"/>
    <row r="53" spans="1:17" s="119" customFormat="1" x14ac:dyDescent="0.2"/>
    <row r="54" spans="1:17" s="119" customFormat="1" x14ac:dyDescent="0.2"/>
    <row r="55" spans="1:17" s="119" customFormat="1" x14ac:dyDescent="0.2">
      <c r="H55" s="120" t="s">
        <v>225</v>
      </c>
    </row>
    <row r="56" spans="1:17" s="119" customFormat="1" x14ac:dyDescent="0.2"/>
    <row r="57" spans="1:17" s="119" customFormat="1" x14ac:dyDescent="0.2"/>
    <row r="58" spans="1:17" x14ac:dyDescent="0.2">
      <c r="A58" s="153" t="s">
        <v>294</v>
      </c>
      <c r="B58" s="153"/>
      <c r="C58" s="153"/>
      <c r="D58" s="153"/>
      <c r="E58" s="153"/>
      <c r="F58" s="153"/>
      <c r="G58" s="153"/>
      <c r="H58" s="153"/>
      <c r="I58" s="153"/>
      <c r="J58" s="153"/>
      <c r="K58" s="153"/>
      <c r="L58" s="153"/>
      <c r="M58" s="153"/>
      <c r="N58" s="153"/>
      <c r="O58" s="153"/>
      <c r="P58" s="153"/>
      <c r="Q58" s="153"/>
    </row>
    <row r="59" spans="1:17" x14ac:dyDescent="0.2">
      <c r="A59" t="s">
        <v>0</v>
      </c>
      <c r="B59" s="1" t="s">
        <v>37</v>
      </c>
      <c r="C59" s="1" t="s">
        <v>190</v>
      </c>
      <c r="D59" s="1" t="s">
        <v>1</v>
      </c>
      <c r="E59" s="5" t="s">
        <v>20</v>
      </c>
      <c r="F59" s="5" t="s">
        <v>21</v>
      </c>
      <c r="G59" s="5" t="s">
        <v>22</v>
      </c>
      <c r="H59" s="5" t="s">
        <v>23</v>
      </c>
      <c r="I59" s="5"/>
      <c r="J59" s="5"/>
      <c r="L59" s="2" t="s">
        <v>8</v>
      </c>
      <c r="M59" s="3" t="s">
        <v>9</v>
      </c>
      <c r="N59" s="3" t="s">
        <v>26</v>
      </c>
      <c r="O59" s="4" t="s">
        <v>27</v>
      </c>
    </row>
    <row r="60" spans="1:17" x14ac:dyDescent="0.2">
      <c r="A60" s="24" t="s">
        <v>20</v>
      </c>
      <c r="B60" s="5" t="s">
        <v>39</v>
      </c>
      <c r="C60" s="108" t="s">
        <v>224</v>
      </c>
      <c r="D60" s="26">
        <v>0.44869999999999999</v>
      </c>
      <c r="E60" s="76" t="s">
        <v>12</v>
      </c>
      <c r="F60" s="77">
        <v>2.237243103207888E-4</v>
      </c>
      <c r="G60" s="77">
        <v>1.5840199334317854E-4</v>
      </c>
      <c r="H60" s="77">
        <v>4.5900625862528219E-4</v>
      </c>
      <c r="I60" s="27"/>
      <c r="J60" s="27"/>
      <c r="K60" s="1"/>
      <c r="L60" s="7" t="s">
        <v>13</v>
      </c>
      <c r="M60" s="8">
        <f>AVERAGE(E63:G63)</f>
        <v>1.1682347552181624E-2</v>
      </c>
      <c r="N60" s="8">
        <f>AVERAGE(F62,E61)</f>
        <v>2.6771736264300308E-3</v>
      </c>
      <c r="O60" s="9">
        <f>E62</f>
        <v>1.4250405315515443E-3</v>
      </c>
      <c r="P60" s="1">
        <f>N60/M60</f>
        <v>0.2291640112975479</v>
      </c>
      <c r="Q60" s="1">
        <f>O60/M60</f>
        <v>0.12198237770159685</v>
      </c>
    </row>
    <row r="61" spans="1:17" x14ac:dyDescent="0.2">
      <c r="A61" s="24" t="s">
        <v>21</v>
      </c>
      <c r="B61" s="5" t="s">
        <v>39</v>
      </c>
      <c r="C61" s="1" t="s">
        <v>55</v>
      </c>
      <c r="D61" s="26">
        <v>0.78015999999999996</v>
      </c>
      <c r="E61" s="76">
        <v>2.8360353913117579E-3</v>
      </c>
      <c r="F61" s="77" t="s">
        <v>12</v>
      </c>
      <c r="G61" s="77">
        <v>2.1077169958242748E-4</v>
      </c>
      <c r="H61" s="77">
        <v>4.5401858750127917E-4</v>
      </c>
      <c r="I61" s="27"/>
      <c r="J61" s="27"/>
      <c r="K61" s="1"/>
      <c r="L61" s="7" t="s">
        <v>14</v>
      </c>
      <c r="M61" s="8">
        <v>6</v>
      </c>
      <c r="N61" s="10">
        <f>N60/(2*N62)</f>
        <v>1.3749840677852874</v>
      </c>
      <c r="O61" s="11">
        <f>O60/(2*O62)</f>
        <v>0.7318942662095812</v>
      </c>
      <c r="P61" s="1">
        <f>AVERAGE(F60,G61)/M60</f>
        <v>1.8596262778626037E-2</v>
      </c>
      <c r="Q61" s="1">
        <f>G60/M60</f>
        <v>1.3559089269998452E-2</v>
      </c>
    </row>
    <row r="62" spans="1:17" x14ac:dyDescent="0.2">
      <c r="A62" s="24" t="s">
        <v>22</v>
      </c>
      <c r="B62" s="5" t="s">
        <v>39</v>
      </c>
      <c r="C62" s="1" t="s">
        <v>55</v>
      </c>
      <c r="D62" s="26">
        <v>0.37694</v>
      </c>
      <c r="E62" s="76">
        <v>1.4250405315515443E-3</v>
      </c>
      <c r="F62" s="76">
        <v>2.5183118615483033E-3</v>
      </c>
      <c r="G62" s="77" t="s">
        <v>12</v>
      </c>
      <c r="H62" s="77">
        <v>4.5725989623943229E-4</v>
      </c>
      <c r="I62" s="27"/>
      <c r="J62" s="27"/>
      <c r="K62" s="1"/>
      <c r="L62" s="7" t="s">
        <v>15</v>
      </c>
      <c r="M62" s="10">
        <f>M60/(2*M61)</f>
        <v>9.7352896268180198E-4</v>
      </c>
      <c r="N62" s="12">
        <f>$M62</f>
        <v>9.7352896268180198E-4</v>
      </c>
      <c r="O62" s="13">
        <f>$M62</f>
        <v>9.7352896268180198E-4</v>
      </c>
      <c r="P62" s="1"/>
      <c r="Q62" s="1"/>
    </row>
    <row r="63" spans="1:17" x14ac:dyDescent="0.2">
      <c r="A63" s="24" t="s">
        <v>23</v>
      </c>
      <c r="B63" s="5" t="s">
        <v>40</v>
      </c>
      <c r="C63" s="1" t="s">
        <v>16</v>
      </c>
      <c r="D63" s="26" t="s">
        <v>16</v>
      </c>
      <c r="E63" s="76">
        <v>1.1795636012380418E-2</v>
      </c>
      <c r="F63" s="76">
        <v>1.1544942004798537E-2</v>
      </c>
      <c r="G63" s="76">
        <v>1.1706464639365923E-2</v>
      </c>
      <c r="H63" s="77" t="s">
        <v>12</v>
      </c>
      <c r="I63" s="27"/>
      <c r="J63" s="27"/>
      <c r="K63" s="1"/>
      <c r="L63" s="14" t="s">
        <v>17</v>
      </c>
      <c r="M63" s="28"/>
      <c r="N63" s="15"/>
      <c r="O63" s="16"/>
      <c r="P63" s="1"/>
      <c r="Q63" s="1"/>
    </row>
    <row r="64" spans="1:17" x14ac:dyDescent="0.2">
      <c r="A64" s="24" t="s">
        <v>24</v>
      </c>
      <c r="B64" s="5" t="s">
        <v>45</v>
      </c>
      <c r="C64" s="1" t="s">
        <v>16</v>
      </c>
      <c r="D64" s="26" t="s">
        <v>16</v>
      </c>
      <c r="E64" s="24"/>
      <c r="F64" s="24"/>
      <c r="G64" s="24"/>
      <c r="H64" s="24"/>
      <c r="I64" s="24"/>
      <c r="J64" s="27"/>
      <c r="K64" s="1"/>
      <c r="L64" s="7" t="s">
        <v>18</v>
      </c>
      <c r="M64" s="28"/>
      <c r="N64" s="17">
        <f>AVERAGE((E61+F60),(F62+G61))/(2*N62)</f>
        <v>1.4865616444570435</v>
      </c>
      <c r="O64" s="18">
        <f>(E62+G60)/(2*O62)</f>
        <v>0.81324880182957193</v>
      </c>
      <c r="P64" s="1"/>
      <c r="Q64" s="1"/>
    </row>
    <row r="65" spans="1:17" x14ac:dyDescent="0.2">
      <c r="A65" s="24" t="s">
        <v>25</v>
      </c>
      <c r="B65" s="5" t="s">
        <v>46</v>
      </c>
      <c r="C65" s="1" t="s">
        <v>16</v>
      </c>
      <c r="D65" s="26" t="s">
        <v>16</v>
      </c>
      <c r="E65" s="24"/>
      <c r="F65" s="24"/>
      <c r="G65" s="24"/>
      <c r="H65" s="24"/>
      <c r="I65" s="24"/>
      <c r="J65" s="24"/>
      <c r="K65" s="1"/>
      <c r="L65" s="19" t="s">
        <v>19</v>
      </c>
      <c r="M65" s="29"/>
      <c r="N65" s="21">
        <f>AVERAGE((E61-F60),(F62-G61))/(2*N62)</f>
        <v>1.2634064911135312</v>
      </c>
      <c r="O65" s="22">
        <f>(E62-G60)/(2*O62)</f>
        <v>0.65053973058959036</v>
      </c>
      <c r="P65" s="1"/>
      <c r="Q65" s="1"/>
    </row>
    <row r="66" spans="1:17" x14ac:dyDescent="0.2">
      <c r="N66" s="5"/>
      <c r="O66" s="5"/>
    </row>
    <row r="67" spans="1:17" ht="34" customHeight="1" x14ac:dyDescent="0.2">
      <c r="A67" s="150" t="s">
        <v>342</v>
      </c>
      <c r="B67" s="150"/>
      <c r="C67" s="150"/>
      <c r="D67" s="150"/>
      <c r="E67" s="150"/>
      <c r="F67" s="150"/>
      <c r="G67" s="150"/>
      <c r="H67" s="150"/>
      <c r="I67" s="150"/>
      <c r="J67" s="150"/>
      <c r="K67" s="150"/>
      <c r="L67" s="150"/>
      <c r="M67" s="150"/>
      <c r="N67" s="150"/>
      <c r="O67" s="150"/>
      <c r="P67" s="150"/>
      <c r="Q67" s="150"/>
    </row>
    <row r="69" spans="1:17" x14ac:dyDescent="0.2">
      <c r="A69" s="153" t="s">
        <v>343</v>
      </c>
      <c r="B69" s="153"/>
      <c r="C69" s="153"/>
      <c r="D69" s="153"/>
      <c r="E69" s="153"/>
      <c r="F69" s="153"/>
      <c r="G69" s="153"/>
      <c r="H69" s="153"/>
      <c r="I69" s="153"/>
      <c r="J69" s="153"/>
      <c r="K69" s="153"/>
      <c r="L69" s="153"/>
      <c r="M69" s="153"/>
      <c r="N69" s="153"/>
      <c r="O69" s="153"/>
      <c r="P69" s="153"/>
      <c r="Q69" s="153"/>
    </row>
    <row r="70" spans="1:17" x14ac:dyDescent="0.2">
      <c r="A70" t="s">
        <v>0</v>
      </c>
      <c r="B70" s="1" t="s">
        <v>37</v>
      </c>
      <c r="C70" s="1" t="s">
        <v>190</v>
      </c>
      <c r="D70" s="1" t="s">
        <v>1</v>
      </c>
      <c r="E70" s="5" t="s">
        <v>20</v>
      </c>
      <c r="F70" s="5" t="s">
        <v>21</v>
      </c>
      <c r="G70" s="5" t="s">
        <v>22</v>
      </c>
      <c r="H70" s="5" t="s">
        <v>23</v>
      </c>
      <c r="I70" s="5"/>
      <c r="J70" s="5"/>
      <c r="L70" s="2" t="s">
        <v>8</v>
      </c>
      <c r="M70" s="3" t="s">
        <v>9</v>
      </c>
      <c r="N70" s="3" t="s">
        <v>26</v>
      </c>
      <c r="O70" s="4" t="s">
        <v>27</v>
      </c>
    </row>
    <row r="71" spans="1:17" x14ac:dyDescent="0.2">
      <c r="A71" s="24" t="s">
        <v>20</v>
      </c>
      <c r="B71" s="5" t="s">
        <v>39</v>
      </c>
      <c r="C71" s="108" t="s">
        <v>224</v>
      </c>
      <c r="D71" s="26">
        <v>0.48623</v>
      </c>
      <c r="E71" s="76" t="s">
        <v>12</v>
      </c>
      <c r="F71" s="77">
        <v>2.5725012994421592E-4</v>
      </c>
      <c r="G71" s="77">
        <v>1.8582759711998508E-4</v>
      </c>
      <c r="H71" s="77">
        <v>5.0548450904297829E-4</v>
      </c>
      <c r="I71" s="27"/>
      <c r="J71" s="27"/>
      <c r="K71" s="1"/>
      <c r="L71" s="7" t="s">
        <v>13</v>
      </c>
      <c r="M71" s="8">
        <f>AVERAGE(E74:G74)</f>
        <v>1.1722197545008015E-2</v>
      </c>
      <c r="N71" s="8">
        <f>AVERAGE(F73,E72)</f>
        <v>2.9670634249100158E-3</v>
      </c>
      <c r="O71" s="9">
        <f>E73</f>
        <v>1.6298968341240774E-3</v>
      </c>
      <c r="P71" s="1">
        <f>N71/M71</f>
        <v>0.25311494824394609</v>
      </c>
      <c r="Q71" s="1">
        <f>O71/M71</f>
        <v>0.13904362453081001</v>
      </c>
    </row>
    <row r="72" spans="1:17" x14ac:dyDescent="0.2">
      <c r="A72" s="24" t="s">
        <v>21</v>
      </c>
      <c r="B72" s="5" t="s">
        <v>39</v>
      </c>
      <c r="C72" s="1" t="s">
        <v>55</v>
      </c>
      <c r="D72" s="26">
        <v>0.75997999999999999</v>
      </c>
      <c r="E72" s="76">
        <v>3.1157549659415764E-3</v>
      </c>
      <c r="F72" s="77" t="s">
        <v>12</v>
      </c>
      <c r="G72" s="77">
        <v>2.4461797524674136E-4</v>
      </c>
      <c r="H72" s="77">
        <v>4.9796896111769867E-4</v>
      </c>
      <c r="I72" s="27"/>
      <c r="J72" s="27"/>
      <c r="K72" s="1"/>
      <c r="L72" s="7" t="s">
        <v>14</v>
      </c>
      <c r="M72" s="8">
        <v>6</v>
      </c>
      <c r="N72" s="10">
        <f>N71/(2*N73)</f>
        <v>1.5186896894636768</v>
      </c>
      <c r="O72" s="11">
        <f>O71/(2*O73)</f>
        <v>0.83426174718486013</v>
      </c>
      <c r="P72" s="1">
        <f>AVERAGE(F71,G72)/M71</f>
        <v>2.1406741494673136E-2</v>
      </c>
      <c r="Q72" s="1">
        <f>G71/M71</f>
        <v>1.5852624595899353E-2</v>
      </c>
    </row>
    <row r="73" spans="1:17" x14ac:dyDescent="0.2">
      <c r="A73" s="24" t="s">
        <v>22</v>
      </c>
      <c r="B73" s="5" t="s">
        <v>39</v>
      </c>
      <c r="C73" s="1" t="s">
        <v>55</v>
      </c>
      <c r="D73" s="26">
        <v>0.40337000000000001</v>
      </c>
      <c r="E73" s="76">
        <v>1.6298968341240774E-3</v>
      </c>
      <c r="F73" s="76">
        <v>2.8183718838784557E-3</v>
      </c>
      <c r="G73" s="77" t="s">
        <v>12</v>
      </c>
      <c r="H73" s="77">
        <v>5.0224525662198344E-4</v>
      </c>
      <c r="I73" s="27"/>
      <c r="J73" s="27"/>
      <c r="K73" s="1"/>
      <c r="L73" s="7" t="s">
        <v>15</v>
      </c>
      <c r="M73" s="10">
        <f>M71/(2*M72)</f>
        <v>9.7684979541733455E-4</v>
      </c>
      <c r="N73" s="12">
        <f>$M73</f>
        <v>9.7684979541733455E-4</v>
      </c>
      <c r="O73" s="13">
        <f>$M73</f>
        <v>9.7684979541733455E-4</v>
      </c>
      <c r="P73" s="1"/>
      <c r="Q73" s="1"/>
    </row>
    <row r="74" spans="1:17" x14ac:dyDescent="0.2">
      <c r="A74" s="24" t="s">
        <v>23</v>
      </c>
      <c r="B74" s="5" t="s">
        <v>40</v>
      </c>
      <c r="C74" s="1" t="s">
        <v>16</v>
      </c>
      <c r="D74" s="26" t="s">
        <v>16</v>
      </c>
      <c r="E74" s="76">
        <v>1.1887274140113344E-2</v>
      </c>
      <c r="F74" s="76">
        <v>1.154248846518743E-2</v>
      </c>
      <c r="G74" s="76">
        <v>1.1736830029723266E-2</v>
      </c>
      <c r="H74" s="77" t="s">
        <v>12</v>
      </c>
      <c r="I74" s="27"/>
      <c r="J74" s="27"/>
      <c r="K74" s="1"/>
      <c r="L74" s="14" t="s">
        <v>17</v>
      </c>
      <c r="M74" s="28"/>
      <c r="N74" s="15"/>
      <c r="O74" s="16"/>
      <c r="P74" s="1"/>
      <c r="Q74" s="1"/>
    </row>
    <row r="75" spans="1:17" x14ac:dyDescent="0.2">
      <c r="A75" s="24" t="s">
        <v>24</v>
      </c>
      <c r="B75" s="5" t="s">
        <v>45</v>
      </c>
      <c r="C75" s="1" t="s">
        <v>16</v>
      </c>
      <c r="D75" s="26" t="s">
        <v>16</v>
      </c>
      <c r="E75" s="24"/>
      <c r="F75" s="24"/>
      <c r="G75" s="24"/>
      <c r="H75" s="24"/>
      <c r="I75" s="24"/>
      <c r="J75" s="27"/>
      <c r="K75" s="1"/>
      <c r="L75" s="7" t="s">
        <v>18</v>
      </c>
      <c r="M75" s="28"/>
      <c r="N75" s="17">
        <f>AVERAGE((E72+F71),(F73+G72))/(2*N73)</f>
        <v>1.6471301384317156</v>
      </c>
      <c r="O75" s="18">
        <f>(E73+G71)/(2*O73)</f>
        <v>0.92937749476025622</v>
      </c>
      <c r="P75" s="1"/>
      <c r="Q75" s="1"/>
    </row>
    <row r="76" spans="1:17" x14ac:dyDescent="0.2">
      <c r="A76" s="24" t="s">
        <v>25</v>
      </c>
      <c r="B76" s="5" t="s">
        <v>46</v>
      </c>
      <c r="C76" s="1" t="s">
        <v>16</v>
      </c>
      <c r="D76" s="26" t="s">
        <v>16</v>
      </c>
      <c r="E76" s="24"/>
      <c r="F76" s="24"/>
      <c r="G76" s="24"/>
      <c r="H76" s="24"/>
      <c r="I76" s="24"/>
      <c r="J76" s="24"/>
      <c r="K76" s="1"/>
      <c r="L76" s="19" t="s">
        <v>19</v>
      </c>
      <c r="M76" s="29"/>
      <c r="N76" s="21">
        <f>AVERAGE((E72-F71),(F73-G72))/(2*N73)</f>
        <v>1.3902492404956379</v>
      </c>
      <c r="O76" s="22">
        <f>(E73-G71)/(2*O73)</f>
        <v>0.73914599960946392</v>
      </c>
      <c r="P76" s="1"/>
      <c r="Q76" s="1"/>
    </row>
    <row r="77" spans="1:17" x14ac:dyDescent="0.2">
      <c r="N77" s="5"/>
      <c r="O77" s="5"/>
    </row>
    <row r="78" spans="1:17" ht="39" customHeight="1" x14ac:dyDescent="0.2">
      <c r="A78" s="150" t="s">
        <v>344</v>
      </c>
      <c r="B78" s="150"/>
      <c r="C78" s="150"/>
      <c r="D78" s="150"/>
      <c r="E78" s="150"/>
      <c r="F78" s="150"/>
      <c r="G78" s="150"/>
      <c r="H78" s="150"/>
      <c r="I78" s="150"/>
      <c r="J78" s="150"/>
      <c r="K78" s="150"/>
      <c r="L78" s="150"/>
      <c r="M78" s="150"/>
      <c r="N78" s="150"/>
      <c r="O78" s="150"/>
      <c r="P78" s="150"/>
      <c r="Q78" s="150"/>
    </row>
  </sheetData>
  <mergeCells count="7">
    <mergeCell ref="A69:Q69"/>
    <mergeCell ref="A78:Q78"/>
    <mergeCell ref="A1:Q1"/>
    <mergeCell ref="A27:Q27"/>
    <mergeCell ref="A10:Q10"/>
    <mergeCell ref="A58:Q58"/>
    <mergeCell ref="A67:Q67"/>
  </mergeCells>
  <pageMargins left="0.75" right="0.75" top="1" bottom="1" header="0.5" footer="0.5"/>
  <pageSetup orientation="portrait" horizontalDpi="4294967292" verticalDpi="4294967292"/>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19</vt:i4>
      </vt:variant>
    </vt:vector>
  </HeadingPairs>
  <TitlesOfParts>
    <vt:vector size="19" baseType="lpstr">
      <vt:lpstr>1_SRGAP2_FAM72</vt:lpstr>
      <vt:lpstr>2_GPR89</vt:lpstr>
      <vt:lpstr>3_FCGR1_HIST2H2B</vt:lpstr>
      <vt:lpstr>4_CD8B</vt:lpstr>
      <vt:lpstr>5_MIR4435</vt:lpstr>
      <vt:lpstr>6_MIR4267</vt:lpstr>
      <vt:lpstr>7_CFC1A_TISP43</vt:lpstr>
      <vt:lpstr>8_DUSP22</vt:lpstr>
      <vt:lpstr>9_GTF2IRD1_GTF2IRD2_NCF1</vt:lpstr>
      <vt:lpstr>10_ARHGEF5</vt:lpstr>
      <vt:lpstr>11_TCAF1_TCAF2</vt:lpstr>
      <vt:lpstr>12_GPRIN2_PPYR1_LOC643650</vt:lpstr>
      <vt:lpstr>13_PTPN20_FRMPD2</vt:lpstr>
      <vt:lpstr>14_ARHGAP11</vt:lpstr>
      <vt:lpstr>15_CHRNA7</vt:lpstr>
      <vt:lpstr>16_HYDIN</vt:lpstr>
      <vt:lpstr>17_ROCK1</vt:lpstr>
      <vt:lpstr>18_GTF2H2_OCLN</vt:lpstr>
      <vt:lpstr>19_SMN1_SERF1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Dennis</dc:creator>
  <cp:lastModifiedBy>Microsoft Office User</cp:lastModifiedBy>
  <dcterms:created xsi:type="dcterms:W3CDTF">2015-01-12T21:03:43Z</dcterms:created>
  <dcterms:modified xsi:type="dcterms:W3CDTF">2016-12-06T05:14:38Z</dcterms:modified>
</cp:coreProperties>
</file>