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4_{DF525AED-E164-462E-8B4D-C53233FFFBBB}" xr6:coauthVersionLast="47" xr6:coauthVersionMax="47" xr10:uidLastSave="{00000000-0000-0000-0000-000000000000}"/>
  <bookViews>
    <workbookView xWindow="-110" yWindow="-110" windowWidth="19420" windowHeight="11500" tabRatio="601" firstSheet="4" activeTab="4" xr2:uid="{00000000-000D-0000-FFFF-FFFF00000000}"/>
  </bookViews>
  <sheets>
    <sheet name="List of Forms" sheetId="9" r:id="rId1"/>
    <sheet name="Source Information" sheetId="10" r:id="rId2"/>
    <sheet name="Document Checklist" sheetId="8" r:id="rId3"/>
    <sheet name="Activities 2020-2021" sheetId="2" r:id="rId4"/>
    <sheet name="Summary" sheetId="1" r:id="rId5"/>
    <sheet name="Microplanning" sheetId="12" r:id="rId6"/>
    <sheet name="In-Person Initial Training" sheetId="3" r:id="rId7"/>
    <sheet name="Online Refresher Training " sheetId="15" r:id="rId8"/>
    <sheet name="Equip, Trans,OVHD" sheetId="7" r:id="rId9"/>
    <sheet name="T and M Personnel" sheetId="13" r:id="rId10"/>
    <sheet name="Personnel" sheetId="5" r:id="rId11"/>
    <sheet name="Lab_Stationery" sheetId="6" r:id="rId12"/>
  </sheets>
  <externalReferences>
    <externalReference r:id="rId13"/>
    <externalReference r:id="rId14"/>
  </externalReferences>
  <definedNames>
    <definedName name="_xlchart.v1.0" hidden="1">Summary!$V$18:$V$27</definedName>
    <definedName name="_xlchart.v1.1" hidden="1">Summary!$W$17</definedName>
    <definedName name="_xlchart.v1.10" hidden="1">Summary!$X$18:$X$26</definedName>
    <definedName name="_xlchart.v1.11" hidden="1">[1]Summary!$W$7:$W$15</definedName>
    <definedName name="_xlchart.v1.12" hidden="1">[1]Summary!$Y$7:$Y$15</definedName>
    <definedName name="_xlchart.v1.13" hidden="1">Summary!$V$18:$V$27</definedName>
    <definedName name="_xlchart.v1.14" hidden="1">Summary!$W$17</definedName>
    <definedName name="_xlchart.v1.15" hidden="1">Summary!$W$18:$W$27</definedName>
    <definedName name="_xlchart.v1.16" hidden="1">Summary!$X$17</definedName>
    <definedName name="_xlchart.v1.17" hidden="1">Summary!$X$18:$X$27</definedName>
    <definedName name="_xlchart.v1.18" hidden="1">Summary!$A$6:$E$20</definedName>
    <definedName name="_xlchart.v1.19" hidden="1">Summary!$F$5</definedName>
    <definedName name="_xlchart.v1.2" hidden="1">Summary!$W$18:$W$27</definedName>
    <definedName name="_xlchart.v1.20" hidden="1">Summary!$F$6:$F$20</definedName>
    <definedName name="_xlchart.v1.21" hidden="1">Summary!$G$5</definedName>
    <definedName name="_xlchart.v1.22" hidden="1">Summary!$G$6:$G$20</definedName>
    <definedName name="_xlchart.v1.23" hidden="1">Summary!$H$5</definedName>
    <definedName name="_xlchart.v1.24" hidden="1">Summary!$H$6:$H$20</definedName>
    <definedName name="_xlchart.v1.25" hidden="1">Summary!$I$5</definedName>
    <definedName name="_xlchart.v1.26" hidden="1">Summary!$I$6:$I$20</definedName>
    <definedName name="_xlchart.v1.27" hidden="1">Summary!$J$5</definedName>
    <definedName name="_xlchart.v1.28" hidden="1">Summary!$J$6:$J$20</definedName>
    <definedName name="_xlchart.v1.29" hidden="1">Summary!$K$5</definedName>
    <definedName name="_xlchart.v1.3" hidden="1">Summary!$X$17</definedName>
    <definedName name="_xlchart.v1.30" hidden="1">Summary!$K$6:$K$20</definedName>
    <definedName name="_xlchart.v1.31" hidden="1">Summary!$L$5</definedName>
    <definedName name="_xlchart.v1.32" hidden="1">Summary!$L$6:$L$20</definedName>
    <definedName name="_xlchart.v1.4" hidden="1">Summary!$X$18:$X$27</definedName>
    <definedName name="_xlchart.v1.5" hidden="1">Summary!$V$18:$V$26</definedName>
    <definedName name="_xlchart.v1.6" hidden="1">Summary!$W$16</definedName>
    <definedName name="_xlchart.v1.7" hidden="1">Summary!$W$18:$W$26</definedName>
    <definedName name="_xlchart.v1.8" hidden="1">Summary!$V$18:$V$26</definedName>
    <definedName name="_xlchart.v1.9" hidden="1">Summary!$W$18:$W$26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1" l="1"/>
  <c r="F10" i="1"/>
  <c r="X15" i="1"/>
  <c r="W15" i="1"/>
  <c r="X19" i="1"/>
  <c r="X20" i="1"/>
  <c r="X21" i="1"/>
  <c r="X22" i="1"/>
  <c r="X23" i="1"/>
  <c r="X24" i="1"/>
  <c r="X25" i="1"/>
  <c r="X26" i="1"/>
  <c r="X18" i="1"/>
  <c r="X27" i="1" s="1"/>
  <c r="E107" i="13"/>
  <c r="B55" i="3"/>
  <c r="K10" i="12"/>
  <c r="B48" i="12"/>
  <c r="B47" i="12"/>
  <c r="D47" i="12"/>
  <c r="D48" i="12"/>
  <c r="J75" i="6"/>
  <c r="J72" i="6"/>
  <c r="K72" i="6" s="1"/>
  <c r="J73" i="6"/>
  <c r="K73" i="6" s="1"/>
  <c r="J74" i="6"/>
  <c r="K74" i="6" s="1"/>
  <c r="J71" i="6"/>
  <c r="K71" i="6"/>
  <c r="K75" i="6" l="1"/>
  <c r="C54" i="15" l="1"/>
  <c r="B48" i="15"/>
  <c r="B47" i="15"/>
  <c r="B50" i="3"/>
  <c r="B49" i="3"/>
  <c r="B42" i="12"/>
  <c r="N31" i="12"/>
  <c r="N32" i="12"/>
  <c r="N30" i="12"/>
  <c r="N29" i="12"/>
  <c r="H14" i="12"/>
  <c r="H22" i="12"/>
  <c r="H28" i="12"/>
  <c r="H29" i="12"/>
  <c r="H30" i="12"/>
  <c r="H31" i="12"/>
  <c r="H32" i="12"/>
  <c r="H27" i="12"/>
  <c r="H17" i="12"/>
  <c r="H18" i="12"/>
  <c r="H19" i="12"/>
  <c r="H20" i="12"/>
  <c r="H21" i="12"/>
  <c r="H16" i="12"/>
  <c r="H11" i="12"/>
  <c r="H12" i="12"/>
  <c r="H13" i="12"/>
  <c r="H10" i="12"/>
  <c r="AF6" i="13" l="1"/>
  <c r="F26" i="13"/>
  <c r="N27" i="12"/>
  <c r="F10" i="12"/>
  <c r="P58" i="13"/>
  <c r="O58" i="13"/>
  <c r="N58" i="13"/>
  <c r="K58" i="13"/>
  <c r="M58" i="13"/>
  <c r="AC58" i="13"/>
  <c r="AB58" i="13"/>
  <c r="AA58" i="13"/>
  <c r="Z58" i="13"/>
  <c r="AD57" i="13"/>
  <c r="AD50" i="13"/>
  <c r="AC57" i="13"/>
  <c r="AC50" i="13"/>
  <c r="AB57" i="13"/>
  <c r="AB50" i="13"/>
  <c r="AA50" i="13"/>
  <c r="AA57" i="13"/>
  <c r="Z57" i="13"/>
  <c r="Z50" i="13"/>
  <c r="Q57" i="13"/>
  <c r="Q50" i="13"/>
  <c r="P50" i="13"/>
  <c r="P57" i="13"/>
  <c r="O57" i="13"/>
  <c r="O50" i="13"/>
  <c r="N57" i="13"/>
  <c r="N50" i="13"/>
  <c r="M57" i="13"/>
  <c r="M50" i="13"/>
  <c r="J107" i="13"/>
  <c r="J108" i="13"/>
  <c r="O108" i="13"/>
  <c r="M108" i="13"/>
  <c r="N108" i="13" s="1"/>
  <c r="P108" i="13"/>
  <c r="I108" i="13"/>
  <c r="H108" i="13"/>
  <c r="H107" i="13"/>
  <c r="I107" i="13" s="1"/>
  <c r="K108" i="13"/>
  <c r="K107" i="13"/>
  <c r="I101" i="13" l="1"/>
  <c r="I100" i="13"/>
  <c r="J100" i="13" s="1"/>
  <c r="I97" i="13"/>
  <c r="J97" i="13" s="1"/>
  <c r="I93" i="13"/>
  <c r="J93" i="13" s="1"/>
  <c r="I94" i="13"/>
  <c r="J94" i="13" s="1"/>
  <c r="I92" i="13"/>
  <c r="J92" i="13" s="1"/>
  <c r="I88" i="13"/>
  <c r="J88" i="13" s="1"/>
  <c r="I89" i="13"/>
  <c r="J89" i="13" s="1"/>
  <c r="I87" i="13"/>
  <c r="H101" i="13"/>
  <c r="H100" i="13"/>
  <c r="H97" i="13"/>
  <c r="H94" i="13"/>
  <c r="H93" i="13"/>
  <c r="H92" i="13"/>
  <c r="H89" i="13"/>
  <c r="H88" i="13"/>
  <c r="H87" i="13"/>
  <c r="E101" i="13"/>
  <c r="E100" i="13"/>
  <c r="E97" i="13"/>
  <c r="E94" i="13"/>
  <c r="E93" i="13"/>
  <c r="E92" i="13"/>
  <c r="E89" i="13"/>
  <c r="E88" i="13"/>
  <c r="E87" i="13"/>
  <c r="E81" i="13"/>
  <c r="E80" i="13"/>
  <c r="E77" i="13"/>
  <c r="E76" i="13"/>
  <c r="E75" i="13"/>
  <c r="E74" i="13"/>
  <c r="E71" i="13"/>
  <c r="E70" i="13"/>
  <c r="E67" i="13"/>
  <c r="E66" i="13"/>
  <c r="E65" i="13"/>
  <c r="E64" i="13"/>
  <c r="E63" i="13"/>
  <c r="E62" i="13"/>
  <c r="H81" i="13"/>
  <c r="H80" i="13"/>
  <c r="H77" i="13"/>
  <c r="H76" i="13"/>
  <c r="H75" i="13"/>
  <c r="H74" i="13"/>
  <c r="H71" i="13"/>
  <c r="H70" i="13"/>
  <c r="I81" i="13"/>
  <c r="J81" i="13" s="1"/>
  <c r="I80" i="13"/>
  <c r="J80" i="13" s="1"/>
  <c r="I75" i="13"/>
  <c r="J75" i="13" s="1"/>
  <c r="I76" i="13"/>
  <c r="I77" i="13"/>
  <c r="J77" i="13" s="1"/>
  <c r="I74" i="13"/>
  <c r="J74" i="13" s="1"/>
  <c r="H67" i="13"/>
  <c r="H66" i="13"/>
  <c r="H65" i="13"/>
  <c r="H64" i="13"/>
  <c r="H63" i="13"/>
  <c r="H62" i="13"/>
  <c r="I71" i="13"/>
  <c r="J71" i="13" s="1"/>
  <c r="I70" i="13"/>
  <c r="I63" i="13"/>
  <c r="J63" i="13" s="1"/>
  <c r="I64" i="13"/>
  <c r="J64" i="13" s="1"/>
  <c r="I65" i="13"/>
  <c r="J65" i="13" s="1"/>
  <c r="I66" i="13"/>
  <c r="J66" i="13" s="1"/>
  <c r="I67" i="13"/>
  <c r="J67" i="13" s="1"/>
  <c r="I62" i="13"/>
  <c r="E57" i="13"/>
  <c r="E50" i="13"/>
  <c r="B57" i="13"/>
  <c r="B50" i="13"/>
  <c r="H54" i="13"/>
  <c r="H53" i="13"/>
  <c r="H47" i="13"/>
  <c r="H46" i="13"/>
  <c r="Y17" i="13"/>
  <c r="Y16" i="13"/>
  <c r="Y15" i="13"/>
  <c r="Y8" i="13"/>
  <c r="Y7" i="13"/>
  <c r="Y6" i="13"/>
  <c r="H72" i="13" l="1"/>
  <c r="H102" i="13"/>
  <c r="I90" i="13"/>
  <c r="H90" i="13"/>
  <c r="I72" i="13"/>
  <c r="H95" i="13"/>
  <c r="E102" i="13"/>
  <c r="I95" i="13"/>
  <c r="I68" i="13"/>
  <c r="J62" i="13"/>
  <c r="J68" i="13" s="1"/>
  <c r="E68" i="13"/>
  <c r="E72" i="13" s="1"/>
  <c r="E78" i="13" s="1"/>
  <c r="I78" i="13"/>
  <c r="J82" i="13"/>
  <c r="I102" i="13"/>
  <c r="J70" i="13"/>
  <c r="J72" i="13" s="1"/>
  <c r="J101" i="13"/>
  <c r="J102" i="13" s="1"/>
  <c r="I82" i="13"/>
  <c r="J76" i="13"/>
  <c r="J78" i="13" s="1"/>
  <c r="E90" i="13"/>
  <c r="J87" i="13"/>
  <c r="J90" i="13" s="1"/>
  <c r="H82" i="13"/>
  <c r="J95" i="13"/>
  <c r="E95" i="13"/>
  <c r="H78" i="13"/>
  <c r="H68" i="13"/>
  <c r="B58" i="13"/>
  <c r="M30" i="5"/>
  <c r="N30" i="5" s="1"/>
  <c r="P30" i="5"/>
  <c r="K30" i="5"/>
  <c r="M29" i="5"/>
  <c r="M28" i="5"/>
  <c r="M27" i="5"/>
  <c r="M26" i="5"/>
  <c r="M25" i="5"/>
  <c r="M24" i="5"/>
  <c r="M22" i="5"/>
  <c r="M21" i="5"/>
  <c r="M20" i="5"/>
  <c r="M19" i="5"/>
  <c r="M18" i="5"/>
  <c r="M17" i="5"/>
  <c r="M16" i="5"/>
  <c r="M15" i="5"/>
  <c r="M14" i="5"/>
  <c r="M13" i="5"/>
  <c r="M12" i="5"/>
  <c r="M11" i="5"/>
  <c r="M10" i="5"/>
  <c r="C47" i="7"/>
  <c r="B76" i="7" s="1"/>
  <c r="D37" i="7"/>
  <c r="D36" i="7"/>
  <c r="E24" i="7"/>
  <c r="H24" i="7" s="1"/>
  <c r="E21" i="7"/>
  <c r="E22" i="7"/>
  <c r="E23" i="7"/>
  <c r="E25" i="7"/>
  <c r="E26" i="7"/>
  <c r="E27" i="7"/>
  <c r="E28" i="7"/>
  <c r="E11" i="7"/>
  <c r="E12" i="7"/>
  <c r="E13" i="7"/>
  <c r="H13" i="7" s="1"/>
  <c r="E14" i="7"/>
  <c r="H14" i="7" s="1"/>
  <c r="E15" i="7"/>
  <c r="E16" i="7"/>
  <c r="E17" i="7"/>
  <c r="C57" i="7"/>
  <c r="C76" i="7" l="1"/>
  <c r="H11" i="7"/>
  <c r="L11" i="7"/>
  <c r="M11" i="7" s="1"/>
  <c r="H27" i="7"/>
  <c r="L27" i="7"/>
  <c r="M27" i="7" s="1"/>
  <c r="H25" i="7"/>
  <c r="L25" i="7"/>
  <c r="M25" i="7" s="1"/>
  <c r="H23" i="7"/>
  <c r="L23" i="7"/>
  <c r="M23" i="7" s="1"/>
  <c r="H22" i="7"/>
  <c r="L22" i="7"/>
  <c r="M22" i="7" s="1"/>
  <c r="H21" i="7"/>
  <c r="E29" i="7"/>
  <c r="L21" i="7"/>
  <c r="H17" i="7"/>
  <c r="L17" i="7"/>
  <c r="M17" i="7" s="1"/>
  <c r="H15" i="7"/>
  <c r="L15" i="7"/>
  <c r="M15" i="7" s="1"/>
  <c r="H28" i="7"/>
  <c r="L28" i="7"/>
  <c r="M28" i="7" s="1"/>
  <c r="H26" i="7"/>
  <c r="L26" i="7"/>
  <c r="M26" i="7" s="1"/>
  <c r="H16" i="7"/>
  <c r="L16" i="7"/>
  <c r="M16" i="7" s="1"/>
  <c r="H12" i="7"/>
  <c r="L12" i="7"/>
  <c r="M12" i="7" s="1"/>
  <c r="H103" i="13"/>
  <c r="I103" i="13"/>
  <c r="I83" i="13"/>
  <c r="E103" i="13"/>
  <c r="H83" i="13"/>
  <c r="J103" i="13"/>
  <c r="J83" i="13"/>
  <c r="E82" i="13"/>
  <c r="E83" i="13" s="1"/>
  <c r="O30" i="5"/>
  <c r="Q30" i="5" s="1"/>
  <c r="R30" i="5" s="1"/>
  <c r="F14" i="1" l="1"/>
  <c r="O14" i="1" s="1"/>
  <c r="L29" i="7"/>
  <c r="D74" i="7" s="1"/>
  <c r="M21" i="7"/>
  <c r="M29" i="7" s="1"/>
  <c r="H29" i="7"/>
  <c r="I104" i="13"/>
  <c r="E104" i="13"/>
  <c r="J104" i="13"/>
  <c r="I9" i="3"/>
  <c r="I6" i="3"/>
  <c r="P24" i="5" l="1"/>
  <c r="N24" i="5"/>
  <c r="K24" i="5"/>
  <c r="J28" i="12"/>
  <c r="J27" i="12"/>
  <c r="N2" i="12"/>
  <c r="M32" i="12"/>
  <c r="M31" i="12"/>
  <c r="M30" i="12"/>
  <c r="M29" i="12"/>
  <c r="M28" i="12"/>
  <c r="M27" i="12"/>
  <c r="I21" i="12"/>
  <c r="I20" i="12"/>
  <c r="I19" i="12"/>
  <c r="I18" i="12"/>
  <c r="I17" i="12"/>
  <c r="I16" i="12"/>
  <c r="K2" i="12"/>
  <c r="O24" i="5" l="1"/>
  <c r="Q24" i="5" s="1"/>
  <c r="R24" i="5" s="1"/>
  <c r="K22" i="5"/>
  <c r="P22" i="5"/>
  <c r="N22" i="5"/>
  <c r="K15" i="5"/>
  <c r="O22" i="5" l="1"/>
  <c r="Q22" i="5" s="1"/>
  <c r="F22" i="15" l="1"/>
  <c r="G22" i="15" s="1"/>
  <c r="F29" i="15"/>
  <c r="G29" i="15" s="1"/>
  <c r="F36" i="15"/>
  <c r="G36" i="15" s="1"/>
  <c r="F27" i="15"/>
  <c r="G27" i="15" s="1"/>
  <c r="F14" i="15"/>
  <c r="G14" i="15" s="1"/>
  <c r="F38" i="3"/>
  <c r="F31" i="3"/>
  <c r="F29" i="3"/>
  <c r="F16" i="3"/>
  <c r="F24" i="3"/>
  <c r="G31" i="12"/>
  <c r="G20" i="12"/>
  <c r="R22" i="5"/>
  <c r="C33" i="7"/>
  <c r="D33" i="7" s="1"/>
  <c r="D46" i="7"/>
  <c r="D45" i="7"/>
  <c r="C37" i="5"/>
  <c r="B37" i="5"/>
  <c r="D36" i="5"/>
  <c r="D35" i="5"/>
  <c r="D34" i="5"/>
  <c r="D33" i="5"/>
  <c r="E38" i="15"/>
  <c r="E37" i="15"/>
  <c r="E36" i="15"/>
  <c r="E35" i="15"/>
  <c r="E31" i="15"/>
  <c r="E30" i="15"/>
  <c r="E29" i="15"/>
  <c r="E27" i="15"/>
  <c r="E26" i="15"/>
  <c r="E25" i="15"/>
  <c r="E23" i="15"/>
  <c r="E22" i="15"/>
  <c r="E21" i="15"/>
  <c r="E20" i="15"/>
  <c r="E19" i="15"/>
  <c r="E18" i="15"/>
  <c r="E16" i="15"/>
  <c r="E15" i="15"/>
  <c r="E14" i="15"/>
  <c r="H14" i="15" s="1"/>
  <c r="I14" i="15" s="1"/>
  <c r="E13" i="15"/>
  <c r="I40" i="3"/>
  <c r="I39" i="3"/>
  <c r="I38" i="3"/>
  <c r="I37" i="3"/>
  <c r="I33" i="3"/>
  <c r="I32" i="3"/>
  <c r="I31" i="3"/>
  <c r="I29" i="3"/>
  <c r="I28" i="3"/>
  <c r="I27" i="3"/>
  <c r="I25" i="3"/>
  <c r="I24" i="3"/>
  <c r="I23" i="3"/>
  <c r="I22" i="3"/>
  <c r="I21" i="3"/>
  <c r="I20" i="3"/>
  <c r="I18" i="3"/>
  <c r="I17" i="3"/>
  <c r="I16" i="3"/>
  <c r="I15" i="3"/>
  <c r="H38" i="3"/>
  <c r="H31" i="3"/>
  <c r="H29" i="3"/>
  <c r="H24" i="3"/>
  <c r="H16" i="3"/>
  <c r="P21" i="5"/>
  <c r="N21" i="5"/>
  <c r="N29" i="5"/>
  <c r="I29" i="5"/>
  <c r="P29" i="5"/>
  <c r="C102" i="13"/>
  <c r="C98" i="13"/>
  <c r="C95" i="13"/>
  <c r="C90" i="13"/>
  <c r="C82" i="13"/>
  <c r="C78" i="13"/>
  <c r="C72" i="13"/>
  <c r="C68" i="13"/>
  <c r="C34" i="13"/>
  <c r="C40" i="13"/>
  <c r="AJ20" i="13"/>
  <c r="X20" i="13"/>
  <c r="S20" i="13"/>
  <c r="D20" i="13"/>
  <c r="AJ11" i="13"/>
  <c r="X11" i="13"/>
  <c r="S11" i="13"/>
  <c r="D11" i="13"/>
  <c r="K16" i="5"/>
  <c r="N16" i="5"/>
  <c r="P16" i="5"/>
  <c r="N17" i="5"/>
  <c r="P17" i="5"/>
  <c r="N18" i="5"/>
  <c r="P18" i="5"/>
  <c r="N19" i="5"/>
  <c r="P19" i="5"/>
  <c r="N20" i="5"/>
  <c r="P20" i="5"/>
  <c r="P26" i="5"/>
  <c r="P27" i="5"/>
  <c r="P28" i="5"/>
  <c r="P25" i="5"/>
  <c r="P11" i="5"/>
  <c r="P12" i="5"/>
  <c r="P13" i="5"/>
  <c r="P14" i="5"/>
  <c r="P15" i="5"/>
  <c r="P10" i="5"/>
  <c r="N26" i="5"/>
  <c r="N27" i="5"/>
  <c r="N28" i="5"/>
  <c r="N25" i="5"/>
  <c r="N11" i="5"/>
  <c r="N12" i="5"/>
  <c r="N13" i="5"/>
  <c r="N14" i="5"/>
  <c r="N15" i="5"/>
  <c r="N10" i="5"/>
  <c r="K11" i="5"/>
  <c r="K10" i="5"/>
  <c r="H27" i="15" l="1"/>
  <c r="I27" i="15" s="1"/>
  <c r="H34" i="5"/>
  <c r="B41" i="12" s="1"/>
  <c r="C108" i="13"/>
  <c r="H33" i="5"/>
  <c r="B42" i="15" s="1"/>
  <c r="C107" i="13"/>
  <c r="H22" i="15"/>
  <c r="I22" i="15" s="1"/>
  <c r="H29" i="15"/>
  <c r="H36" i="15"/>
  <c r="I36" i="15" s="1"/>
  <c r="D47" i="7"/>
  <c r="D37" i="5"/>
  <c r="K21" i="5"/>
  <c r="O21" i="5" s="1"/>
  <c r="Q21" i="5" s="1"/>
  <c r="O16" i="5"/>
  <c r="Q16" i="5" s="1"/>
  <c r="O10" i="5"/>
  <c r="Q10" i="5" s="1"/>
  <c r="O11" i="5"/>
  <c r="Q11" i="5" s="1"/>
  <c r="C103" i="13"/>
  <c r="C83" i="13"/>
  <c r="C41" i="13"/>
  <c r="D40" i="13" s="1"/>
  <c r="I34" i="5" s="1"/>
  <c r="K17" i="5"/>
  <c r="O17" i="5" s="1"/>
  <c r="Q17" i="5" s="1"/>
  <c r="R17" i="5" s="1"/>
  <c r="J50" i="13" l="1"/>
  <c r="J57" i="13"/>
  <c r="K57" i="13" s="1"/>
  <c r="E108" i="13"/>
  <c r="S55" i="13"/>
  <c r="S53" i="13"/>
  <c r="V53" i="13" s="1"/>
  <c r="W53" i="13" s="1"/>
  <c r="S54" i="13"/>
  <c r="V54" i="13" s="1"/>
  <c r="W54" i="13" s="1"/>
  <c r="S52" i="13"/>
  <c r="D34" i="13"/>
  <c r="I33" i="5" s="1"/>
  <c r="I29" i="15"/>
  <c r="I3" i="7"/>
  <c r="B45" i="3"/>
  <c r="H35" i="5"/>
  <c r="B44" i="3"/>
  <c r="B43" i="15"/>
  <c r="I2" i="7"/>
  <c r="H76" i="7" s="1"/>
  <c r="B40" i="12"/>
  <c r="G29" i="12"/>
  <c r="F18" i="15"/>
  <c r="F15" i="15"/>
  <c r="F31" i="15"/>
  <c r="F20" i="15"/>
  <c r="F21" i="15"/>
  <c r="F28" i="3"/>
  <c r="F23" i="3"/>
  <c r="F20" i="3"/>
  <c r="F22" i="3"/>
  <c r="F17" i="3"/>
  <c r="R21" i="5"/>
  <c r="G21" i="12"/>
  <c r="G18" i="12"/>
  <c r="F33" i="3"/>
  <c r="R11" i="5"/>
  <c r="G10" i="12"/>
  <c r="R10" i="5"/>
  <c r="G11" i="12"/>
  <c r="R16" i="5"/>
  <c r="F8" i="13"/>
  <c r="F7" i="13"/>
  <c r="F17" i="13"/>
  <c r="AK18" i="13"/>
  <c r="F16" i="13"/>
  <c r="AK10" i="13"/>
  <c r="AK9" i="13"/>
  <c r="F15" i="13"/>
  <c r="F6" i="13"/>
  <c r="AK16" i="13"/>
  <c r="AK19" i="13"/>
  <c r="AK7" i="13"/>
  <c r="C104" i="13"/>
  <c r="K18" i="5"/>
  <c r="O18" i="5" s="1"/>
  <c r="Q18" i="5" s="1"/>
  <c r="R18" i="5" s="1"/>
  <c r="K50" i="13" l="1"/>
  <c r="J58" i="13"/>
  <c r="F108" i="13"/>
  <c r="X57" i="13"/>
  <c r="Y57" i="13" s="1"/>
  <c r="B44" i="15"/>
  <c r="F107" i="13"/>
  <c r="X50" i="13"/>
  <c r="F48" i="13"/>
  <c r="F55" i="13"/>
  <c r="F52" i="13"/>
  <c r="F45" i="13"/>
  <c r="S45" i="13"/>
  <c r="S48" i="13"/>
  <c r="S47" i="13"/>
  <c r="V47" i="13" s="1"/>
  <c r="W47" i="13" s="1"/>
  <c r="S46" i="13"/>
  <c r="V46" i="13" s="1"/>
  <c r="W46" i="13" s="1"/>
  <c r="G21" i="15"/>
  <c r="H21" i="15"/>
  <c r="I21" i="15" s="1"/>
  <c r="G20" i="15"/>
  <c r="H20" i="15"/>
  <c r="I20" i="15" s="1"/>
  <c r="G31" i="15"/>
  <c r="H31" i="15"/>
  <c r="I31" i="15" s="1"/>
  <c r="G15" i="15"/>
  <c r="H15" i="15"/>
  <c r="I15" i="15" s="1"/>
  <c r="G18" i="15"/>
  <c r="H18" i="15"/>
  <c r="B46" i="3"/>
  <c r="I4" i="7"/>
  <c r="C43" i="15"/>
  <c r="C45" i="3"/>
  <c r="J3" i="7"/>
  <c r="C44" i="3"/>
  <c r="C42" i="15"/>
  <c r="I35" i="5"/>
  <c r="J2" i="7"/>
  <c r="I76" i="7"/>
  <c r="AL16" i="13"/>
  <c r="H15" i="13"/>
  <c r="H6" i="13"/>
  <c r="AL9" i="13"/>
  <c r="AL10" i="13"/>
  <c r="AL19" i="13"/>
  <c r="AL18" i="13"/>
  <c r="H17" i="13"/>
  <c r="AL7" i="13"/>
  <c r="H8" i="13"/>
  <c r="H16" i="13"/>
  <c r="H7" i="13"/>
  <c r="K19" i="5"/>
  <c r="O19" i="5" s="1"/>
  <c r="Q19" i="5" s="1"/>
  <c r="R19" i="5" s="1"/>
  <c r="K20" i="5"/>
  <c r="O20" i="5" s="1"/>
  <c r="Q20" i="5" s="1"/>
  <c r="R20" i="5" s="1"/>
  <c r="K12" i="5"/>
  <c r="O12" i="5" s="1"/>
  <c r="Q12" i="5" s="1"/>
  <c r="G27" i="12" s="1"/>
  <c r="K14" i="5"/>
  <c r="O14" i="5" s="1"/>
  <c r="Q14" i="5" s="1"/>
  <c r="O15" i="5"/>
  <c r="Q15" i="5" s="1"/>
  <c r="K13" i="5"/>
  <c r="O13" i="5" s="1"/>
  <c r="Q13" i="5" s="1"/>
  <c r="V48" i="13" l="1"/>
  <c r="W48" i="13" s="1"/>
  <c r="V45" i="13"/>
  <c r="W45" i="13" s="1"/>
  <c r="H48" i="13"/>
  <c r="X58" i="13"/>
  <c r="Y50" i="13"/>
  <c r="Y58" i="13" s="1"/>
  <c r="F109" i="13"/>
  <c r="H52" i="13"/>
  <c r="F56" i="13"/>
  <c r="F57" i="13" s="1"/>
  <c r="V52" i="13"/>
  <c r="V55" i="13"/>
  <c r="W55" i="13" s="1"/>
  <c r="H55" i="13"/>
  <c r="H45" i="13"/>
  <c r="F49" i="13"/>
  <c r="F50" i="13" s="1"/>
  <c r="I18" i="15"/>
  <c r="C42" i="12"/>
  <c r="C44" i="15"/>
  <c r="J4" i="7"/>
  <c r="C46" i="3"/>
  <c r="F13" i="15"/>
  <c r="H13" i="15" s="1"/>
  <c r="F19" i="15"/>
  <c r="F15" i="3"/>
  <c r="F21" i="3"/>
  <c r="G28" i="12"/>
  <c r="F35" i="15"/>
  <c r="H35" i="15" s="1"/>
  <c r="F16" i="15"/>
  <c r="F30" i="15"/>
  <c r="F25" i="15"/>
  <c r="F23" i="15"/>
  <c r="H23" i="15" s="1"/>
  <c r="I23" i="15" s="1"/>
  <c r="F27" i="3"/>
  <c r="F37" i="3"/>
  <c r="F25" i="3"/>
  <c r="F32" i="3"/>
  <c r="F18" i="3"/>
  <c r="R13" i="5"/>
  <c r="G17" i="12"/>
  <c r="G13" i="12"/>
  <c r="R12" i="5"/>
  <c r="G12" i="12"/>
  <c r="G16" i="12"/>
  <c r="R14" i="5"/>
  <c r="T19" i="13"/>
  <c r="AK6" i="13"/>
  <c r="T18" i="13"/>
  <c r="F10" i="13"/>
  <c r="AD16" i="13"/>
  <c r="AF16" i="13" s="1"/>
  <c r="AG16" i="13" s="1"/>
  <c r="T7" i="13"/>
  <c r="AD15" i="13"/>
  <c r="AF15" i="13" s="1"/>
  <c r="AD6" i="13"/>
  <c r="T6" i="13"/>
  <c r="AK17" i="13"/>
  <c r="T17" i="13"/>
  <c r="T10" i="13"/>
  <c r="T16" i="13"/>
  <c r="T9" i="13"/>
  <c r="AK15" i="13"/>
  <c r="AD17" i="13"/>
  <c r="AF17" i="13" s="1"/>
  <c r="AG17" i="13" s="1"/>
  <c r="T15" i="13"/>
  <c r="AD8" i="13"/>
  <c r="AF8" i="13" s="1"/>
  <c r="AG8" i="13" s="1"/>
  <c r="T8" i="13"/>
  <c r="AD7" i="13"/>
  <c r="AF7" i="13" s="1"/>
  <c r="AG7" i="13" s="1"/>
  <c r="F18" i="13"/>
  <c r="AK8" i="13"/>
  <c r="F9" i="13"/>
  <c r="R15" i="5"/>
  <c r="F19" i="13"/>
  <c r="W49" i="13" l="1"/>
  <c r="W50" i="13" s="1"/>
  <c r="V49" i="13"/>
  <c r="V50" i="13" s="1"/>
  <c r="H49" i="13"/>
  <c r="H50" i="13" s="1"/>
  <c r="C52" i="13"/>
  <c r="C54" i="13"/>
  <c r="T54" i="13" s="1"/>
  <c r="U54" i="13" s="1"/>
  <c r="F58" i="13"/>
  <c r="V56" i="13"/>
  <c r="V57" i="13" s="1"/>
  <c r="W52" i="13"/>
  <c r="W56" i="13" s="1"/>
  <c r="W57" i="13" s="1"/>
  <c r="W58" i="13" s="1"/>
  <c r="H56" i="13"/>
  <c r="H57" i="13" s="1"/>
  <c r="T52" i="13"/>
  <c r="D52" i="13"/>
  <c r="C53" i="13"/>
  <c r="C55" i="13"/>
  <c r="C48" i="13"/>
  <c r="C46" i="13"/>
  <c r="C47" i="13"/>
  <c r="C45" i="13"/>
  <c r="T45" i="13" s="1"/>
  <c r="AF20" i="13"/>
  <c r="J26" i="13" s="1"/>
  <c r="AG15" i="13"/>
  <c r="AG20" i="13" s="1"/>
  <c r="K26" i="13" s="1"/>
  <c r="AG6" i="13"/>
  <c r="AG11" i="13" s="1"/>
  <c r="D26" i="13" s="1"/>
  <c r="AF11" i="13"/>
  <c r="C26" i="13" s="1"/>
  <c r="G19" i="15"/>
  <c r="H19" i="15"/>
  <c r="I35" i="15"/>
  <c r="G25" i="15"/>
  <c r="H25" i="15"/>
  <c r="G30" i="15"/>
  <c r="H30" i="15"/>
  <c r="I13" i="15"/>
  <c r="G16" i="15"/>
  <c r="H16" i="15"/>
  <c r="I16" i="15" s="1"/>
  <c r="G23" i="15"/>
  <c r="G24" i="15" s="1"/>
  <c r="F24" i="15"/>
  <c r="G35" i="15"/>
  <c r="G13" i="15"/>
  <c r="F17" i="15"/>
  <c r="H19" i="13"/>
  <c r="T11" i="13"/>
  <c r="F11" i="13"/>
  <c r="F20" i="13"/>
  <c r="T20" i="13"/>
  <c r="J25" i="13" s="1"/>
  <c r="AK20" i="13"/>
  <c r="J27" i="13" s="1"/>
  <c r="S27" i="13" s="1"/>
  <c r="AK11" i="13"/>
  <c r="U15" i="13"/>
  <c r="AL6" i="13"/>
  <c r="U6" i="13"/>
  <c r="AE17" i="13"/>
  <c r="AE8" i="13"/>
  <c r="H18" i="13"/>
  <c r="H9" i="13"/>
  <c r="AE16" i="13"/>
  <c r="AE7" i="13"/>
  <c r="AE15" i="13"/>
  <c r="AE6" i="13"/>
  <c r="U19" i="13"/>
  <c r="U10" i="13"/>
  <c r="AL8" i="13"/>
  <c r="U18" i="13"/>
  <c r="U9" i="13"/>
  <c r="AL15" i="13"/>
  <c r="H10" i="13"/>
  <c r="U17" i="13"/>
  <c r="U8" i="13"/>
  <c r="AL17" i="13"/>
  <c r="U16" i="13"/>
  <c r="U7" i="13"/>
  <c r="E11" i="6"/>
  <c r="F11" i="6" s="1"/>
  <c r="D48" i="6"/>
  <c r="D49" i="6"/>
  <c r="V58" i="13" l="1"/>
  <c r="D54" i="13"/>
  <c r="H58" i="13"/>
  <c r="D47" i="13"/>
  <c r="T47" i="13"/>
  <c r="U47" i="13" s="1"/>
  <c r="D48" i="13"/>
  <c r="T48" i="13"/>
  <c r="U48" i="13" s="1"/>
  <c r="U45" i="13"/>
  <c r="D53" i="13"/>
  <c r="T53" i="13"/>
  <c r="U53" i="13" s="1"/>
  <c r="U52" i="13"/>
  <c r="D46" i="13"/>
  <c r="T46" i="13"/>
  <c r="U46" i="13" s="1"/>
  <c r="T55" i="13"/>
  <c r="U55" i="13" s="1"/>
  <c r="D55" i="13"/>
  <c r="C56" i="13"/>
  <c r="C57" i="13" s="1"/>
  <c r="D45" i="13"/>
  <c r="C49" i="13"/>
  <c r="C50" i="13" s="1"/>
  <c r="S25" i="13"/>
  <c r="T25" i="13" s="1"/>
  <c r="U26" i="13"/>
  <c r="S26" i="13"/>
  <c r="T26" i="13" s="1"/>
  <c r="V26" i="13"/>
  <c r="T27" i="13"/>
  <c r="AM20" i="13"/>
  <c r="J24" i="13"/>
  <c r="S24" i="13" s="1"/>
  <c r="C24" i="13"/>
  <c r="F24" i="13" s="1"/>
  <c r="AM11" i="13"/>
  <c r="C28" i="13" s="1"/>
  <c r="I30" i="15"/>
  <c r="I32" i="15" s="1"/>
  <c r="H32" i="15"/>
  <c r="I25" i="15"/>
  <c r="H17" i="15"/>
  <c r="G17" i="15"/>
  <c r="I19" i="15"/>
  <c r="I24" i="15" s="1"/>
  <c r="H24" i="15"/>
  <c r="I17" i="15"/>
  <c r="C25" i="13"/>
  <c r="C27" i="13"/>
  <c r="F27" i="13" s="1"/>
  <c r="AL20" i="13"/>
  <c r="AL11" i="13"/>
  <c r="U11" i="13"/>
  <c r="D25" i="13" s="1"/>
  <c r="U20" i="13"/>
  <c r="K25" i="13" s="1"/>
  <c r="H11" i="13"/>
  <c r="D24" i="13" s="1"/>
  <c r="H20" i="13"/>
  <c r="K24" i="13" s="1"/>
  <c r="F28" i="12"/>
  <c r="N28" i="12" s="1"/>
  <c r="O28" i="12" s="1"/>
  <c r="F29" i="12"/>
  <c r="O29" i="12" s="1"/>
  <c r="F30" i="12"/>
  <c r="F31" i="12"/>
  <c r="O31" i="12" s="1"/>
  <c r="F32" i="12"/>
  <c r="F27" i="12"/>
  <c r="F20" i="12"/>
  <c r="J20" i="12" s="1"/>
  <c r="K20" i="12" s="1"/>
  <c r="F21" i="12"/>
  <c r="J21" i="12" s="1"/>
  <c r="K21" i="12" s="1"/>
  <c r="F19" i="12"/>
  <c r="F18" i="12"/>
  <c r="J18" i="12" s="1"/>
  <c r="K18" i="12" s="1"/>
  <c r="F17" i="12"/>
  <c r="J17" i="12" s="1"/>
  <c r="K17" i="12" s="1"/>
  <c r="F16" i="12"/>
  <c r="J16" i="12" s="1"/>
  <c r="F11" i="12"/>
  <c r="J11" i="12" s="1"/>
  <c r="K11" i="12" s="1"/>
  <c r="F12" i="12"/>
  <c r="J12" i="12" s="1"/>
  <c r="K12" i="12" s="1"/>
  <c r="F13" i="12"/>
  <c r="J13" i="12" s="1"/>
  <c r="K13" i="12" s="1"/>
  <c r="R50" i="13" l="1"/>
  <c r="Q58" i="13"/>
  <c r="R57" i="13"/>
  <c r="D56" i="13"/>
  <c r="D57" i="13" s="1"/>
  <c r="T56" i="13"/>
  <c r="T57" i="13" s="1"/>
  <c r="U49" i="13"/>
  <c r="U50" i="13" s="1"/>
  <c r="T49" i="13"/>
  <c r="T50" i="13" s="1"/>
  <c r="C58" i="13"/>
  <c r="U56" i="13"/>
  <c r="U57" i="13" s="1"/>
  <c r="U58" i="13" s="1"/>
  <c r="D49" i="13"/>
  <c r="D50" i="13" s="1"/>
  <c r="U25" i="13"/>
  <c r="F25" i="13"/>
  <c r="V25" i="13"/>
  <c r="W24" i="13"/>
  <c r="U24" i="13"/>
  <c r="W27" i="13"/>
  <c r="U27" i="13"/>
  <c r="H26" i="13"/>
  <c r="X26" i="13" s="1"/>
  <c r="W26" i="13"/>
  <c r="V24" i="13"/>
  <c r="T24" i="13"/>
  <c r="T28" i="13" s="1"/>
  <c r="S28" i="13"/>
  <c r="D27" i="13"/>
  <c r="K27" i="13"/>
  <c r="J28" i="13"/>
  <c r="AN11" i="13"/>
  <c r="AN20" i="13"/>
  <c r="J10" i="12"/>
  <c r="K16" i="12"/>
  <c r="F102" i="13"/>
  <c r="D102" i="13"/>
  <c r="F95" i="13"/>
  <c r="D95" i="13"/>
  <c r="F90" i="13"/>
  <c r="D90" i="13"/>
  <c r="F82" i="13"/>
  <c r="D82" i="13"/>
  <c r="F78" i="13"/>
  <c r="D78" i="13"/>
  <c r="F72" i="13"/>
  <c r="D72" i="13"/>
  <c r="F68" i="13"/>
  <c r="D68" i="13"/>
  <c r="E15" i="3"/>
  <c r="G15" i="3" s="1"/>
  <c r="J15" i="3" s="1"/>
  <c r="K15" i="3" s="1"/>
  <c r="T58" i="13" l="1"/>
  <c r="R58" i="13"/>
  <c r="D58" i="13"/>
  <c r="D83" i="13"/>
  <c r="F83" i="13"/>
  <c r="H24" i="13"/>
  <c r="X24" i="13" s="1"/>
  <c r="H27" i="13"/>
  <c r="X27" i="13" s="1"/>
  <c r="V27" i="13"/>
  <c r="V28" i="13" s="1"/>
  <c r="U28" i="13"/>
  <c r="H25" i="13"/>
  <c r="X25" i="13" s="1"/>
  <c r="W25" i="13"/>
  <c r="W28" i="13" s="1"/>
  <c r="K28" i="13"/>
  <c r="F28" i="13"/>
  <c r="D28" i="13"/>
  <c r="J14" i="12"/>
  <c r="K14" i="12"/>
  <c r="O27" i="12"/>
  <c r="D103" i="13"/>
  <c r="F103" i="13"/>
  <c r="N22" i="12"/>
  <c r="AE50" i="13" l="1"/>
  <c r="AD58" i="13"/>
  <c r="AE57" i="13"/>
  <c r="G16" i="1" s="1"/>
  <c r="P16" i="1" s="1"/>
  <c r="H28" i="13"/>
  <c r="X28" i="13"/>
  <c r="D104" i="13"/>
  <c r="F104" i="13"/>
  <c r="Q22" i="12"/>
  <c r="AE58" i="13" l="1"/>
  <c r="F16" i="1"/>
  <c r="O16" i="1" s="1"/>
  <c r="E109" i="13"/>
  <c r="D108" i="13"/>
  <c r="D107" i="13"/>
  <c r="C109" i="13"/>
  <c r="H104" i="13"/>
  <c r="E38" i="3"/>
  <c r="G38" i="3" s="1"/>
  <c r="J38" i="3" s="1"/>
  <c r="K38" i="3" s="1"/>
  <c r="E39" i="3"/>
  <c r="E40" i="3"/>
  <c r="E37" i="3"/>
  <c r="G37" i="3" s="1"/>
  <c r="J37" i="3" s="1"/>
  <c r="E33" i="3"/>
  <c r="G33" i="3" s="1"/>
  <c r="J33" i="3" s="1"/>
  <c r="K33" i="3" s="1"/>
  <c r="E32" i="3"/>
  <c r="G32" i="3" s="1"/>
  <c r="J32" i="3" s="1"/>
  <c r="K32" i="3" s="1"/>
  <c r="E31" i="3"/>
  <c r="G31" i="3" s="1"/>
  <c r="J31" i="3" s="1"/>
  <c r="K31" i="3" s="1"/>
  <c r="E29" i="3"/>
  <c r="G29" i="3" s="1"/>
  <c r="J29" i="3" s="1"/>
  <c r="K29" i="3" s="1"/>
  <c r="E28" i="3"/>
  <c r="G28" i="3" s="1"/>
  <c r="J28" i="3" s="1"/>
  <c r="K28" i="3" s="1"/>
  <c r="E27" i="3"/>
  <c r="G27" i="3" s="1"/>
  <c r="J27" i="3" s="1"/>
  <c r="K27" i="3" s="1"/>
  <c r="E24" i="3"/>
  <c r="G24" i="3" s="1"/>
  <c r="J24" i="3" s="1"/>
  <c r="K24" i="3" s="1"/>
  <c r="E25" i="3"/>
  <c r="G25" i="3" s="1"/>
  <c r="J25" i="3" s="1"/>
  <c r="K25" i="3" s="1"/>
  <c r="E23" i="3"/>
  <c r="G23" i="3" s="1"/>
  <c r="J23" i="3" s="1"/>
  <c r="K23" i="3" s="1"/>
  <c r="E22" i="3"/>
  <c r="G22" i="3" s="1"/>
  <c r="J22" i="3" s="1"/>
  <c r="K22" i="3" s="1"/>
  <c r="E21" i="3"/>
  <c r="G21" i="3" s="1"/>
  <c r="J21" i="3" s="1"/>
  <c r="K21" i="3" s="1"/>
  <c r="E20" i="3"/>
  <c r="E16" i="3"/>
  <c r="G16" i="3" s="1"/>
  <c r="J16" i="3" s="1"/>
  <c r="K16" i="3" s="1"/>
  <c r="E17" i="3"/>
  <c r="G17" i="3" s="1"/>
  <c r="J17" i="3" s="1"/>
  <c r="K17" i="3" s="1"/>
  <c r="E18" i="3"/>
  <c r="G18" i="3" s="1"/>
  <c r="J18" i="3" s="1"/>
  <c r="K18" i="3" s="1"/>
  <c r="K16" i="1" l="1"/>
  <c r="K37" i="3"/>
  <c r="G20" i="3"/>
  <c r="J20" i="3" s="1"/>
  <c r="D109" i="13"/>
  <c r="K34" i="3"/>
  <c r="J34" i="3"/>
  <c r="K19" i="3"/>
  <c r="J19" i="3"/>
  <c r="I25" i="5"/>
  <c r="I26" i="5"/>
  <c r="H25" i="5"/>
  <c r="H29" i="5" s="1"/>
  <c r="H26" i="5"/>
  <c r="F25" i="5"/>
  <c r="F29" i="5" s="1"/>
  <c r="T16" i="1" l="1"/>
  <c r="W25" i="1" s="1"/>
  <c r="K20" i="3"/>
  <c r="K26" i="3" s="1"/>
  <c r="J26" i="3"/>
  <c r="K29" i="5"/>
  <c r="O29" i="5" s="1"/>
  <c r="Q29" i="5" s="1"/>
  <c r="K25" i="5"/>
  <c r="O25" i="5" s="1"/>
  <c r="Q25" i="5" s="1"/>
  <c r="F37" i="15" s="1"/>
  <c r="H37" i="15" s="1"/>
  <c r="F26" i="5"/>
  <c r="I37" i="15" l="1"/>
  <c r="G37" i="15"/>
  <c r="R25" i="5"/>
  <c r="R29" i="5"/>
  <c r="G32" i="12"/>
  <c r="O32" i="12" s="1"/>
  <c r="F27" i="5"/>
  <c r="K26" i="5"/>
  <c r="O26" i="5" s="1"/>
  <c r="Q26" i="5" s="1"/>
  <c r="R26" i="5" s="1"/>
  <c r="I27" i="5"/>
  <c r="H27" i="5"/>
  <c r="K27" i="5" l="1"/>
  <c r="O27" i="5" s="1"/>
  <c r="Q27" i="5" s="1"/>
  <c r="F28" i="5"/>
  <c r="I28" i="5"/>
  <c r="H28" i="5"/>
  <c r="F26" i="15" l="1"/>
  <c r="H26" i="15" s="1"/>
  <c r="F38" i="15"/>
  <c r="H38" i="15" s="1"/>
  <c r="F39" i="3"/>
  <c r="G39" i="3" s="1"/>
  <c r="J39" i="3" s="1"/>
  <c r="F40" i="3"/>
  <c r="G40" i="3" s="1"/>
  <c r="J40" i="3" s="1"/>
  <c r="K40" i="3" s="1"/>
  <c r="G30" i="12"/>
  <c r="R27" i="5"/>
  <c r="G19" i="12"/>
  <c r="J19" i="12" s="1"/>
  <c r="K28" i="5"/>
  <c r="O28" i="5" s="1"/>
  <c r="Q28" i="5" s="1"/>
  <c r="E52" i="6"/>
  <c r="F52" i="6" s="1"/>
  <c r="E53" i="6"/>
  <c r="F53" i="6" s="1"/>
  <c r="E50" i="6"/>
  <c r="F50" i="6" s="1"/>
  <c r="E48" i="6"/>
  <c r="F48" i="6" s="1"/>
  <c r="E54" i="6"/>
  <c r="F54" i="6" s="1"/>
  <c r="E49" i="6"/>
  <c r="F49" i="6" s="1"/>
  <c r="I38" i="15" l="1"/>
  <c r="I39" i="15" s="1"/>
  <c r="H39" i="15"/>
  <c r="I26" i="15"/>
  <c r="I28" i="15" s="1"/>
  <c r="I33" i="15" s="1"/>
  <c r="H28" i="15"/>
  <c r="H33" i="15" s="1"/>
  <c r="K39" i="3"/>
  <c r="K41" i="3" s="1"/>
  <c r="J41" i="3"/>
  <c r="G26" i="15"/>
  <c r="G28" i="15" s="1"/>
  <c r="F28" i="15"/>
  <c r="G38" i="15"/>
  <c r="G39" i="15" s="1"/>
  <c r="F39" i="15"/>
  <c r="B54" i="15" s="1"/>
  <c r="H33" i="12"/>
  <c r="K19" i="12"/>
  <c r="K22" i="12" s="1"/>
  <c r="K23" i="12" s="1"/>
  <c r="J22" i="12"/>
  <c r="R28" i="5"/>
  <c r="K30" i="3"/>
  <c r="J30" i="3"/>
  <c r="J35" i="3" s="1"/>
  <c r="C49" i="3" s="1"/>
  <c r="J23" i="12" l="1"/>
  <c r="C50" i="3"/>
  <c r="J42" i="3"/>
  <c r="D48" i="15"/>
  <c r="D54" i="15" s="1"/>
  <c r="C48" i="15"/>
  <c r="F32" i="15"/>
  <c r="F33" i="15" s="1"/>
  <c r="B53" i="15" s="1"/>
  <c r="G32" i="15"/>
  <c r="G33" i="15" s="1"/>
  <c r="O30" i="12"/>
  <c r="O33" i="12" s="1"/>
  <c r="N33" i="12"/>
  <c r="B37" i="12" s="1"/>
  <c r="K35" i="3"/>
  <c r="B36" i="12" l="1"/>
  <c r="C37" i="12"/>
  <c r="D50" i="3"/>
  <c r="D56" i="3" s="1"/>
  <c r="B56" i="3"/>
  <c r="D36" i="12"/>
  <c r="D47" i="15"/>
  <c r="D53" i="15" s="1"/>
  <c r="C47" i="15"/>
  <c r="C49" i="15" s="1"/>
  <c r="E48" i="15"/>
  <c r="G9" i="1"/>
  <c r="P9" i="1" s="1"/>
  <c r="C51" i="3"/>
  <c r="K42" i="3"/>
  <c r="B49" i="15"/>
  <c r="C35" i="7"/>
  <c r="D35" i="7" s="1"/>
  <c r="E50" i="3" l="1"/>
  <c r="C36" i="12"/>
  <c r="C38" i="12" s="1"/>
  <c r="C56" i="3"/>
  <c r="G8" i="1" s="1"/>
  <c r="P8" i="1" s="1"/>
  <c r="E47" i="12"/>
  <c r="D37" i="12"/>
  <c r="D38" i="12" s="1"/>
  <c r="E36" i="12"/>
  <c r="B57" i="3"/>
  <c r="B51" i="3"/>
  <c r="D49" i="3"/>
  <c r="D55" i="3" s="1"/>
  <c r="E54" i="15"/>
  <c r="C53" i="15"/>
  <c r="F9" i="1" s="1"/>
  <c r="O9" i="1" s="1"/>
  <c r="E53" i="15"/>
  <c r="E56" i="3"/>
  <c r="B38" i="12"/>
  <c r="C55" i="3"/>
  <c r="F8" i="1" s="1"/>
  <c r="O8" i="1" s="1"/>
  <c r="E47" i="15"/>
  <c r="E49" i="15" s="1"/>
  <c r="D55" i="15"/>
  <c r="D49" i="15"/>
  <c r="C47" i="12"/>
  <c r="B55" i="15"/>
  <c r="E20" i="7"/>
  <c r="L20" i="7" s="1"/>
  <c r="M20" i="7" s="1"/>
  <c r="C39" i="7"/>
  <c r="D39" i="7" s="1"/>
  <c r="C64" i="7"/>
  <c r="C63" i="7"/>
  <c r="C69" i="7"/>
  <c r="C58" i="7"/>
  <c r="C59" i="7"/>
  <c r="C60" i="7"/>
  <c r="C40" i="7"/>
  <c r="D40" i="7" s="1"/>
  <c r="C41" i="7"/>
  <c r="D41" i="7" s="1"/>
  <c r="C68" i="7"/>
  <c r="C67" i="7"/>
  <c r="C56" i="7"/>
  <c r="C61" i="7" s="1"/>
  <c r="D75" i="7" s="1"/>
  <c r="C42" i="7"/>
  <c r="D42" i="7" s="1"/>
  <c r="C52" i="7"/>
  <c r="C50" i="7"/>
  <c r="C49" i="7"/>
  <c r="C51" i="7"/>
  <c r="C38" i="7"/>
  <c r="D38" i="7" s="1"/>
  <c r="C34" i="7"/>
  <c r="C43" i="7" l="1"/>
  <c r="K9" i="1"/>
  <c r="K8" i="1"/>
  <c r="B49" i="12"/>
  <c r="D49" i="12"/>
  <c r="E37" i="12"/>
  <c r="E38" i="12" s="1"/>
  <c r="C48" i="12"/>
  <c r="G7" i="1" s="1"/>
  <c r="P7" i="1" s="1"/>
  <c r="F7" i="1"/>
  <c r="O7" i="1" s="1"/>
  <c r="C53" i="7"/>
  <c r="B77" i="7" s="1"/>
  <c r="C65" i="7"/>
  <c r="D76" i="7" s="1"/>
  <c r="F76" i="7" s="1"/>
  <c r="E75" i="7"/>
  <c r="G15" i="1" s="1"/>
  <c r="P15" i="1" s="1"/>
  <c r="J75" i="7"/>
  <c r="D51" i="3"/>
  <c r="E49" i="3"/>
  <c r="E51" i="3" s="1"/>
  <c r="E55" i="15"/>
  <c r="C55" i="15"/>
  <c r="C57" i="3"/>
  <c r="E55" i="3"/>
  <c r="H20" i="7"/>
  <c r="C70" i="7"/>
  <c r="D77" i="7" s="1"/>
  <c r="D34" i="7"/>
  <c r="D43" i="7" s="1"/>
  <c r="B75" i="7"/>
  <c r="F75" i="7" s="1"/>
  <c r="D57" i="3"/>
  <c r="D63" i="7"/>
  <c r="D69" i="7"/>
  <c r="D49" i="7"/>
  <c r="D64" i="7"/>
  <c r="D56" i="7"/>
  <c r="D58" i="7"/>
  <c r="D52" i="7"/>
  <c r="D67" i="7"/>
  <c r="D68" i="7"/>
  <c r="D60" i="7"/>
  <c r="D50" i="7"/>
  <c r="D57" i="7"/>
  <c r="D51" i="7"/>
  <c r="D59" i="7"/>
  <c r="E33" i="6"/>
  <c r="F33" i="6" s="1"/>
  <c r="E34" i="6"/>
  <c r="F34" i="6" s="1"/>
  <c r="E35" i="6"/>
  <c r="F35" i="6" s="1"/>
  <c r="E36" i="6"/>
  <c r="F36" i="6" s="1"/>
  <c r="E37" i="6"/>
  <c r="F37" i="6" s="1"/>
  <c r="E38" i="6"/>
  <c r="F38" i="6" s="1"/>
  <c r="E39" i="6"/>
  <c r="F39" i="6" s="1"/>
  <c r="E40" i="6"/>
  <c r="F40" i="6" s="1"/>
  <c r="E32" i="6"/>
  <c r="F32" i="6" s="1"/>
  <c r="C77" i="7" l="1"/>
  <c r="F77" i="7"/>
  <c r="T9" i="1"/>
  <c r="W20" i="1" s="1"/>
  <c r="T8" i="1"/>
  <c r="W19" i="1" s="1"/>
  <c r="K7" i="1"/>
  <c r="C49" i="12"/>
  <c r="E48" i="12"/>
  <c r="H77" i="7"/>
  <c r="L77" i="7" s="1"/>
  <c r="F41" i="6"/>
  <c r="D53" i="7"/>
  <c r="K75" i="7"/>
  <c r="C75" i="7"/>
  <c r="H75" i="7"/>
  <c r="L75" i="7" s="1"/>
  <c r="E77" i="7"/>
  <c r="G13" i="1" s="1"/>
  <c r="P13" i="1" s="1"/>
  <c r="J77" i="7"/>
  <c r="E74" i="7"/>
  <c r="P10" i="1" s="1"/>
  <c r="J74" i="7"/>
  <c r="D61" i="7"/>
  <c r="E76" i="7"/>
  <c r="J76" i="7"/>
  <c r="L76" i="7" s="1"/>
  <c r="D65" i="7"/>
  <c r="D70" i="7"/>
  <c r="E57" i="3"/>
  <c r="E41" i="6"/>
  <c r="G14" i="1" l="1"/>
  <c r="G76" i="7"/>
  <c r="F15" i="1"/>
  <c r="G75" i="7"/>
  <c r="F13" i="1"/>
  <c r="O13" i="1" s="1"/>
  <c r="G77" i="7"/>
  <c r="K13" i="1"/>
  <c r="T13" i="1" s="1"/>
  <c r="W22" i="1" s="1"/>
  <c r="P14" i="1"/>
  <c r="K14" i="1"/>
  <c r="T14" i="1" s="1"/>
  <c r="W23" i="1" s="1"/>
  <c r="K15" i="1"/>
  <c r="T15" i="1" s="1"/>
  <c r="W24" i="1" s="1"/>
  <c r="O15" i="1"/>
  <c r="G11" i="1"/>
  <c r="P11" i="1" s="1"/>
  <c r="T7" i="1"/>
  <c r="W18" i="1" s="1"/>
  <c r="E49" i="12"/>
  <c r="I77" i="7"/>
  <c r="M77" i="7" s="1"/>
  <c r="K76" i="7"/>
  <c r="M76" i="7" s="1"/>
  <c r="I75" i="7"/>
  <c r="M75" i="7" s="1"/>
  <c r="K77" i="7"/>
  <c r="K74" i="7"/>
  <c r="J78" i="7"/>
  <c r="C60" i="6"/>
  <c r="B60" i="6"/>
  <c r="B72" i="6" l="1"/>
  <c r="D72" i="6"/>
  <c r="H72" i="6" s="1"/>
  <c r="K78" i="7"/>
  <c r="D60" i="6"/>
  <c r="F60" i="6"/>
  <c r="C72" i="6" l="1"/>
  <c r="F72" i="6"/>
  <c r="E72" i="6"/>
  <c r="H60" i="6"/>
  <c r="I60" i="6" s="1"/>
  <c r="G72" i="6"/>
  <c r="G60" i="6"/>
  <c r="I72" i="6"/>
  <c r="E60" i="6"/>
  <c r="E10" i="7"/>
  <c r="A1" i="7"/>
  <c r="E51" i="6"/>
  <c r="F51" i="6" s="1"/>
  <c r="E45" i="6"/>
  <c r="F45" i="6" s="1"/>
  <c r="E44" i="6"/>
  <c r="F44" i="6" s="1"/>
  <c r="E43" i="6"/>
  <c r="F43" i="6" s="1"/>
  <c r="E29" i="6"/>
  <c r="F29" i="6" s="1"/>
  <c r="E28" i="6"/>
  <c r="F28" i="6" s="1"/>
  <c r="C27" i="6"/>
  <c r="E27" i="6" s="1"/>
  <c r="F27" i="6" s="1"/>
  <c r="E26" i="6"/>
  <c r="F26" i="6" s="1"/>
  <c r="E25" i="6"/>
  <c r="F25" i="6" s="1"/>
  <c r="E24" i="6"/>
  <c r="F24" i="6" s="1"/>
  <c r="E23" i="6"/>
  <c r="F23" i="6" s="1"/>
  <c r="E22" i="6"/>
  <c r="F22" i="6" s="1"/>
  <c r="E21" i="6"/>
  <c r="F21" i="6" s="1"/>
  <c r="E20" i="6"/>
  <c r="F20" i="6" s="1"/>
  <c r="E19" i="6"/>
  <c r="F19" i="6" s="1"/>
  <c r="E18" i="6"/>
  <c r="F18" i="6" s="1"/>
  <c r="E17" i="6"/>
  <c r="F17" i="6" s="1"/>
  <c r="E16" i="6"/>
  <c r="F16" i="6" s="1"/>
  <c r="E15" i="6"/>
  <c r="F15" i="6" s="1"/>
  <c r="E14" i="6"/>
  <c r="F14" i="6" s="1"/>
  <c r="E13" i="6"/>
  <c r="F13" i="6" s="1"/>
  <c r="E12" i="6"/>
  <c r="F12" i="6" s="1"/>
  <c r="E10" i="6"/>
  <c r="F10" i="6" s="1"/>
  <c r="E9" i="6"/>
  <c r="F9" i="6" s="1"/>
  <c r="L10" i="7" l="1"/>
  <c r="E18" i="7"/>
  <c r="F30" i="6"/>
  <c r="F46" i="6"/>
  <c r="H10" i="7"/>
  <c r="H18" i="7" s="1"/>
  <c r="L72" i="6"/>
  <c r="C61" i="6"/>
  <c r="E46" i="6"/>
  <c r="B61" i="6" s="1"/>
  <c r="F55" i="6"/>
  <c r="C62" i="6" s="1"/>
  <c r="E55" i="6"/>
  <c r="B62" i="6" s="1"/>
  <c r="E30" i="6"/>
  <c r="M10" i="7" l="1"/>
  <c r="M18" i="7" s="1"/>
  <c r="L18" i="7"/>
  <c r="B74" i="7" s="1"/>
  <c r="C74" i="7" s="1"/>
  <c r="B74" i="6"/>
  <c r="D74" i="6"/>
  <c r="H74" i="6" s="1"/>
  <c r="B73" i="6"/>
  <c r="D73" i="6"/>
  <c r="H73" i="6" s="1"/>
  <c r="M72" i="6"/>
  <c r="D61" i="6"/>
  <c r="H61" i="6" s="1"/>
  <c r="I61" i="6" s="1"/>
  <c r="F61" i="6"/>
  <c r="D62" i="6"/>
  <c r="F62" i="6"/>
  <c r="C59" i="6"/>
  <c r="B59" i="6"/>
  <c r="O10" i="1" l="1"/>
  <c r="G74" i="7"/>
  <c r="G78" i="7" s="1"/>
  <c r="H74" i="7"/>
  <c r="L74" i="7" s="1"/>
  <c r="L78" i="7" s="1"/>
  <c r="F74" i="7"/>
  <c r="F78" i="7" s="1"/>
  <c r="K10" i="1"/>
  <c r="C73" i="6"/>
  <c r="F73" i="6"/>
  <c r="B71" i="6"/>
  <c r="F71" i="6" s="1"/>
  <c r="D71" i="6"/>
  <c r="H71" i="6" s="1"/>
  <c r="C74" i="6"/>
  <c r="F74" i="6"/>
  <c r="C71" i="6"/>
  <c r="C75" i="6" s="1"/>
  <c r="F18" i="1" s="1"/>
  <c r="O18" i="1" s="1"/>
  <c r="B75" i="6"/>
  <c r="H62" i="6"/>
  <c r="I62" i="6" s="1"/>
  <c r="E74" i="6"/>
  <c r="E73" i="6"/>
  <c r="I74" i="7"/>
  <c r="M74" i="7" s="1"/>
  <c r="M78" i="7" s="1"/>
  <c r="H78" i="7"/>
  <c r="D59" i="6"/>
  <c r="F59" i="6"/>
  <c r="G61" i="6"/>
  <c r="I73" i="6"/>
  <c r="G73" i="6"/>
  <c r="G62" i="6"/>
  <c r="I74" i="6"/>
  <c r="G74" i="6"/>
  <c r="E61" i="6"/>
  <c r="E62" i="6"/>
  <c r="B63" i="6"/>
  <c r="C63" i="6"/>
  <c r="B78" i="7"/>
  <c r="T10" i="1" l="1"/>
  <c r="W21" i="1" s="1"/>
  <c r="I78" i="7"/>
  <c r="H59" i="6"/>
  <c r="H63" i="6" s="1"/>
  <c r="L71" i="6"/>
  <c r="I59" i="6"/>
  <c r="I63" i="6" s="1"/>
  <c r="L73" i="6"/>
  <c r="M73" i="6" s="1"/>
  <c r="L74" i="6"/>
  <c r="M74" i="6" s="1"/>
  <c r="I71" i="6"/>
  <c r="I75" i="6" s="1"/>
  <c r="H75" i="6"/>
  <c r="G59" i="6"/>
  <c r="G63" i="6" s="1"/>
  <c r="F63" i="6"/>
  <c r="E59" i="6"/>
  <c r="E63" i="6" s="1"/>
  <c r="F19" i="1" s="1"/>
  <c r="O19" i="1" s="1"/>
  <c r="D63" i="6"/>
  <c r="D78" i="7"/>
  <c r="C78" i="7"/>
  <c r="F75" i="6" l="1"/>
  <c r="G71" i="6"/>
  <c r="G75" i="6" s="1"/>
  <c r="E71" i="6"/>
  <c r="E75" i="6" s="1"/>
  <c r="G18" i="1" s="1"/>
  <c r="P18" i="1" s="1"/>
  <c r="D75" i="6"/>
  <c r="F11" i="1"/>
  <c r="O11" i="1" s="1"/>
  <c r="M71" i="6"/>
  <c r="M75" i="6" s="1"/>
  <c r="E78" i="7"/>
  <c r="L75" i="6"/>
  <c r="K18" i="1" l="1"/>
  <c r="G19" i="1"/>
  <c r="P19" i="1" s="1"/>
  <c r="K11" i="1"/>
  <c r="F20" i="1"/>
  <c r="O20" i="1" s="1"/>
  <c r="T11" i="1" l="1"/>
  <c r="G20" i="1"/>
  <c r="P20" i="1" s="1"/>
  <c r="T18" i="1"/>
  <c r="W26" i="1" s="1"/>
  <c r="W27" i="1" s="1"/>
  <c r="K19" i="1"/>
  <c r="T19" i="1" l="1"/>
  <c r="K20" i="1"/>
  <c r="L20" i="1" l="1"/>
  <c r="T20" i="1"/>
  <c r="L15" i="1"/>
  <c r="L13" i="1"/>
  <c r="L14" i="1"/>
  <c r="L16" i="1"/>
  <c r="L8" i="1"/>
  <c r="L9" i="1"/>
  <c r="L7" i="1"/>
  <c r="L10" i="1"/>
  <c r="L18" i="1"/>
  <c r="L11" i="1"/>
  <c r="L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10" authorId="0" shapeId="0" xr:uid="{873C1588-6869-4117-A77E-E8EA57BB9D1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You had calculated the total costs to by multiplying the no of personel, duration and total time and cost per min. However, total time already includes duration. So I have remove the multiplication of D16 in your formula. This is important for the start up meetings</t>
        </r>
      </text>
    </comment>
    <comment ref="I10" authorId="0" shapeId="0" xr:uid="{DCF54725-4056-466C-8951-A9AFB3C372A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Removed the refreshments for the SOPs development</t>
        </r>
      </text>
    </comment>
    <comment ref="B36" authorId="0" shapeId="0" xr:uid="{23B4161A-A39C-4A51-B5E8-9E3704B0E6D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Here you multiplied by 55 which you should not do since it’s the total cost.</t>
        </r>
      </text>
    </comment>
  </commentList>
</comments>
</file>

<file path=xl/sharedStrings.xml><?xml version="1.0" encoding="utf-8"?>
<sst xmlns="http://schemas.openxmlformats.org/spreadsheetml/2006/main" count="1350" uniqueCount="595">
  <si>
    <t>Activity</t>
  </si>
  <si>
    <t>Recurrent</t>
  </si>
  <si>
    <t>x</t>
  </si>
  <si>
    <t xml:space="preserve">TYPE OF COST: </t>
  </si>
  <si>
    <t>Start-up cost</t>
  </si>
  <si>
    <t>ACTIVITY:</t>
  </si>
  <si>
    <t xml:space="preserve">LEVEL OF THE SPENDING UNIT: </t>
  </si>
  <si>
    <t>NAME  AND LOCATION OF THE SPENDING UNIT:</t>
  </si>
  <si>
    <t>Name of activity</t>
  </si>
  <si>
    <t>Notes</t>
  </si>
  <si>
    <t>Nairobi</t>
  </si>
  <si>
    <t>Clinical Officer</t>
  </si>
  <si>
    <t>Peer Educators</t>
  </si>
  <si>
    <t>Study Coordinator</t>
  </si>
  <si>
    <t>Lab Technologist</t>
  </si>
  <si>
    <t>Health Advisors</t>
  </si>
  <si>
    <t>Laboratory Technologist</t>
  </si>
  <si>
    <t>Health Advisor</t>
  </si>
  <si>
    <t>Nurse</t>
  </si>
  <si>
    <t>Coast</t>
  </si>
  <si>
    <t>Total</t>
  </si>
  <si>
    <t>Initial Training</t>
  </si>
  <si>
    <t>Does MOH typically conduct this activity (1=Yes, 2=No)</t>
  </si>
  <si>
    <t>Number</t>
  </si>
  <si>
    <t>Job title</t>
  </si>
  <si>
    <t>Ngara</t>
  </si>
  <si>
    <t>Githurai</t>
  </si>
  <si>
    <t>Pangani</t>
  </si>
  <si>
    <t>Kawangware</t>
  </si>
  <si>
    <t>Subtotal Nairobi</t>
  </si>
  <si>
    <t>Kilifi</t>
  </si>
  <si>
    <t>Mtwapa</t>
  </si>
  <si>
    <t>USD</t>
  </si>
  <si>
    <t>Item</t>
  </si>
  <si>
    <t>Brand</t>
  </si>
  <si>
    <t>Quantity</t>
  </si>
  <si>
    <t>EDTA Vacuntainer tubes BD 4ml 100'S</t>
  </si>
  <si>
    <t>EDTA Vacuntainer tubes BD 10ml 100'S</t>
  </si>
  <si>
    <t>Serum Vials 2ml 100's</t>
  </si>
  <si>
    <t>Transfer pipette sterile 500's</t>
  </si>
  <si>
    <t>Cryo boxes 10x10 cardboard</t>
  </si>
  <si>
    <t>Eclipse vacuntainer needles 48's - BD</t>
  </si>
  <si>
    <t>Lumiquick Hep B kit 50T</t>
  </si>
  <si>
    <t>Biohazard autoclave bags 30x36 - 100's</t>
  </si>
  <si>
    <t>Sharp Container - cardboard</t>
  </si>
  <si>
    <t>Latex examination gloves powder free 100's medium</t>
  </si>
  <si>
    <t>Nitrile gloves 100's small</t>
  </si>
  <si>
    <t>cool box</t>
  </si>
  <si>
    <t>vacuntainer needle holders 250's</t>
  </si>
  <si>
    <t>Alcohol swabs 100's</t>
  </si>
  <si>
    <t>Cotton wool rolls 400g</t>
  </si>
  <si>
    <t>Elastoplasts 100's</t>
  </si>
  <si>
    <t>Urine collection bottles 60ml</t>
  </si>
  <si>
    <t>Pregnancy test strips 50T</t>
  </si>
  <si>
    <t>Hand sanitizers 500ml</t>
  </si>
  <si>
    <t>Surgical face masks 3ply 50's</t>
  </si>
  <si>
    <t>Diluent Isotonac 4 (20l)</t>
  </si>
  <si>
    <t>MEK-641</t>
  </si>
  <si>
    <t>Cleanac 810 (15ml)</t>
  </si>
  <si>
    <t>MEK-810WI</t>
  </si>
  <si>
    <t>Hemolinac510I (250ML)</t>
  </si>
  <si>
    <t>MEK-510I</t>
  </si>
  <si>
    <t>Brand/Model</t>
  </si>
  <si>
    <t>Year of purchase</t>
  </si>
  <si>
    <t xml:space="preserve">Mobile phones </t>
  </si>
  <si>
    <t>Nokia</t>
  </si>
  <si>
    <t>Tablets</t>
  </si>
  <si>
    <t>Samsung</t>
  </si>
  <si>
    <t>Laptop</t>
  </si>
  <si>
    <t>Lenovo CORE i3</t>
  </si>
  <si>
    <t>Label Printer</t>
  </si>
  <si>
    <t>Zebra ZD410</t>
  </si>
  <si>
    <t>Metallic Cabinet</t>
  </si>
  <si>
    <t>Office Chairs</t>
  </si>
  <si>
    <t>4g router</t>
  </si>
  <si>
    <t>Subtotal</t>
  </si>
  <si>
    <t>Itel</t>
  </si>
  <si>
    <t>label printer</t>
  </si>
  <si>
    <t>Hard Drive</t>
  </si>
  <si>
    <t>Office Desk</t>
  </si>
  <si>
    <t>Metallic filing cabinet</t>
  </si>
  <si>
    <t>Sub-total</t>
  </si>
  <si>
    <t>Overhead</t>
  </si>
  <si>
    <t>Rent Nairobi Sites</t>
  </si>
  <si>
    <t>Office Expenses</t>
  </si>
  <si>
    <t>Dry Ice</t>
  </si>
  <si>
    <t>Participants refreshments</t>
  </si>
  <si>
    <t>Communication costs</t>
  </si>
  <si>
    <t>Airtime calling and bundles</t>
  </si>
  <si>
    <t>Internet</t>
  </si>
  <si>
    <t>Transport costs</t>
  </si>
  <si>
    <t>Taxi/ Fare</t>
  </si>
  <si>
    <t>Rent Mombasa Sites</t>
  </si>
  <si>
    <t>Airtime- calling and bundles</t>
  </si>
  <si>
    <t>Rider - Sample errands</t>
  </si>
  <si>
    <t>Taxi/Fare</t>
  </si>
  <si>
    <t xml:space="preserve">Local Courier </t>
  </si>
  <si>
    <t>Required documents</t>
  </si>
  <si>
    <t>From</t>
  </si>
  <si>
    <t>Received</t>
  </si>
  <si>
    <t>Meeting reports- SOP development, Training planning, site activations, study boards, trainings, HA meetings, PE meetings, sensitization meetings, CMEs, outreaches</t>
  </si>
  <si>
    <t xml:space="preserve">Training reports- initial and refresher trainings of peer educators, Health advisors, Clinicians, study staff </t>
  </si>
  <si>
    <t>Sample shipping reports</t>
  </si>
  <si>
    <t>Peer educator reimbursement</t>
  </si>
  <si>
    <t>Participant reimbursement</t>
  </si>
  <si>
    <t>Dry ice procument</t>
  </si>
  <si>
    <t>Tablets, computers, I-response</t>
  </si>
  <si>
    <t>I-response and labels ( for the barcodes)</t>
  </si>
  <si>
    <t>Lab labels</t>
  </si>
  <si>
    <t>HIV and HCV test kits</t>
  </si>
  <si>
    <t>Taxis ( no vehicle)</t>
  </si>
  <si>
    <t>Time in motion</t>
  </si>
  <si>
    <t>Time in motion survey</t>
  </si>
  <si>
    <t>Disaggregated time for each process as per ODK</t>
  </si>
  <si>
    <t>Joyce/ Geoffrey</t>
  </si>
  <si>
    <t>Summary excel sheet for peer educator tracing</t>
  </si>
  <si>
    <t>Individual peer educator tracing forms/ reimbursment</t>
  </si>
  <si>
    <t>Reconciliation(Include transport and othercost on a monthly basis)</t>
  </si>
  <si>
    <t>LPOs/ Invoices (Includes transport and other cost on a monthly basis)</t>
  </si>
  <si>
    <t>Staff hiring (Interviews / Processes</t>
  </si>
  <si>
    <t>Salaries and benefits for all staff</t>
  </si>
  <si>
    <t>Rent (Office facilities in Nairobi and Coast)</t>
  </si>
  <si>
    <t>Internet communications and bundles</t>
  </si>
  <si>
    <t>Transport - Staff</t>
  </si>
  <si>
    <t>Transport - Peer educators</t>
  </si>
  <si>
    <t>Transport Participants</t>
  </si>
  <si>
    <t>Motor riding (Coast and Nairobi)</t>
  </si>
  <si>
    <t>Bi-monthly shipping from Coast to Nairobi to Kisumu</t>
  </si>
  <si>
    <t>Shipping Inventories</t>
  </si>
  <si>
    <t>Lab Supplies (Gloves, masks, vacuntainers etc)</t>
  </si>
  <si>
    <t xml:space="preserve">Sample testing </t>
  </si>
  <si>
    <t>Cost</t>
  </si>
  <si>
    <t>Start-up</t>
  </si>
  <si>
    <t>Equipment</t>
  </si>
  <si>
    <t xml:space="preserve">Transportation </t>
  </si>
  <si>
    <t>Communication</t>
  </si>
  <si>
    <t>Refresher trainining</t>
  </si>
  <si>
    <t>Year</t>
  </si>
  <si>
    <t>Forms</t>
  </si>
  <si>
    <t>National level</t>
  </si>
  <si>
    <t>County</t>
  </si>
  <si>
    <t>Facility</t>
  </si>
  <si>
    <t>Summary HCV TX'!A1</t>
  </si>
  <si>
    <t>Document checklist'!A1</t>
  </si>
  <si>
    <t>Activities 2020-2022'!A1</t>
  </si>
  <si>
    <t>Sources of information '!A1</t>
  </si>
  <si>
    <t>Start up Costs</t>
  </si>
  <si>
    <t>Implementation</t>
  </si>
  <si>
    <t>General. Personnel '!A1</t>
  </si>
  <si>
    <t>Implem. Supplies'!A1</t>
  </si>
  <si>
    <t>Implementation - Equip,Trans,OVHD</t>
  </si>
  <si>
    <t>How many communities are participating in HCV TX study?</t>
  </si>
  <si>
    <t>How many provincial or district hospitals are participating in HCV TX study?</t>
  </si>
  <si>
    <t>How many health facilities are participating in HCV TX study?</t>
  </si>
  <si>
    <t>Type of Cost</t>
  </si>
  <si>
    <t>Source of Information</t>
  </si>
  <si>
    <t>Microplanning</t>
  </si>
  <si>
    <t>Sensitization!A1</t>
  </si>
  <si>
    <t>Initial Training'!A1</t>
  </si>
  <si>
    <t>Bic</t>
  </si>
  <si>
    <t>Pen fine point - Blue</t>
  </si>
  <si>
    <t>Pen fine point - Black</t>
  </si>
  <si>
    <t>Note book</t>
  </si>
  <si>
    <t>contnp</t>
  </si>
  <si>
    <t>Kartasi</t>
  </si>
  <si>
    <t>Multipunch pocket</t>
  </si>
  <si>
    <t>Labels</t>
  </si>
  <si>
    <t>Afri</t>
  </si>
  <si>
    <t>Kasuku</t>
  </si>
  <si>
    <t>Photocopy paper</t>
  </si>
  <si>
    <t>GRN</t>
  </si>
  <si>
    <t>Lab_Stationery</t>
  </si>
  <si>
    <t>Ann Maundu</t>
  </si>
  <si>
    <t>Caroline Akinyi</t>
  </si>
  <si>
    <t>Esther Mbugua</t>
  </si>
  <si>
    <t>Linet Kabibi</t>
  </si>
  <si>
    <t>Nancy Chabuga</t>
  </si>
  <si>
    <t>David Kimani</t>
  </si>
  <si>
    <t>Vincent Adhanja</t>
  </si>
  <si>
    <t>William Jillo</t>
  </si>
  <si>
    <t>Emma Nanjala</t>
  </si>
  <si>
    <t xml:space="preserve">Printing, Photocopy and Binding </t>
  </si>
  <si>
    <t>Rider Administration errands</t>
  </si>
  <si>
    <t xml:space="preserve">Rider - Sample collection and dispatch </t>
  </si>
  <si>
    <t>Peer educators</t>
  </si>
  <si>
    <t xml:space="preserve">Study Coodinator </t>
  </si>
  <si>
    <t>Joyce</t>
  </si>
  <si>
    <t>Staff Name</t>
  </si>
  <si>
    <t>Micro_Planning!A1</t>
  </si>
  <si>
    <t>Aliza/ Margaret</t>
  </si>
  <si>
    <t>Margaret/ Geoffrey</t>
  </si>
  <si>
    <t>Joyce/ Margaret</t>
  </si>
  <si>
    <t>HCV Viral load</t>
  </si>
  <si>
    <t>Heb cab</t>
  </si>
  <si>
    <t>Full Hemogram</t>
  </si>
  <si>
    <t>PHRD</t>
  </si>
  <si>
    <t>Serum AST levels</t>
  </si>
  <si>
    <t>Serum ALT levels</t>
  </si>
  <si>
    <t>Serum Creatinine</t>
  </si>
  <si>
    <t>KEMRI CGHR</t>
  </si>
  <si>
    <t>KEMRI NRB</t>
  </si>
  <si>
    <t>Margaret</t>
  </si>
  <si>
    <t>Paul /Joyce</t>
  </si>
  <si>
    <t>Samuel Njogu</t>
  </si>
  <si>
    <t>Bernard Njuguna</t>
  </si>
  <si>
    <t>Cate Maimuna</t>
  </si>
  <si>
    <t>Pauline Wangui</t>
  </si>
  <si>
    <t>Gladwel Wambui</t>
  </si>
  <si>
    <t>Mary Stella Njeri</t>
  </si>
  <si>
    <t>Stephen Mwangi</t>
  </si>
  <si>
    <t>Susan Wambui</t>
  </si>
  <si>
    <t>Mecki Mohamed</t>
  </si>
  <si>
    <t>Richard Wanjohi</t>
  </si>
  <si>
    <t>Michael Muturi</t>
  </si>
  <si>
    <t>Mohamed Salim</t>
  </si>
  <si>
    <t>Simon Kiema</t>
  </si>
  <si>
    <t>Grace Wairimu</t>
  </si>
  <si>
    <t>Mohamed Said</t>
  </si>
  <si>
    <t>Bakar Hatib</t>
  </si>
  <si>
    <t>Gladys Mwaka</t>
  </si>
  <si>
    <t>Malic Mwangi</t>
  </si>
  <si>
    <t>Sammy Atwoli</t>
  </si>
  <si>
    <t>Priscilla Moraa</t>
  </si>
  <si>
    <t xml:space="preserve">TOTAL </t>
  </si>
  <si>
    <t>Kenya</t>
  </si>
  <si>
    <t>Nairobi &amp; Coast Region</t>
  </si>
  <si>
    <t>Pangani, Githurai, Kawangware, Ngara, Reachout, Mew Mtwapa, Mewa Kilifi, Omari Project</t>
  </si>
  <si>
    <t>Yes</t>
  </si>
  <si>
    <t>Form 1</t>
  </si>
  <si>
    <t>Form 3</t>
  </si>
  <si>
    <t>Form 2</t>
  </si>
  <si>
    <t>Form 4</t>
  </si>
  <si>
    <t>2020-2021</t>
  </si>
  <si>
    <t>KSH</t>
  </si>
  <si>
    <t xml:space="preserve">Year </t>
  </si>
  <si>
    <t>Ngara Health Centre, Githurai, Pangani, Kawangware, Omari Project, Mewa Kilifi, Mewa Mtwapa, Reachout</t>
  </si>
  <si>
    <t>Initial training on the general study overview, roles and expecrations - Pangani site (23rd November, 2020)</t>
  </si>
  <si>
    <t>Initial training on the general study overview, roles and expecrations - Githurai site (23rd November, 2020)</t>
  </si>
  <si>
    <t>Initial training on the general study overview, roles and expecrations - MSFsite (25th November, 2020)</t>
  </si>
  <si>
    <t>Initial training on the general study overview, roles and expecrations - Ngara site (3rd December, 2020)</t>
  </si>
  <si>
    <t>Counsellor</t>
  </si>
  <si>
    <t>Pharmaceutical Technologist</t>
  </si>
  <si>
    <t>Initial training on the general study overview, roles and expecrations - Malindi site (15 December, 2020)</t>
  </si>
  <si>
    <t>Total initial Training costs - Nairobi</t>
  </si>
  <si>
    <t>Total Initial Training costs - Coast Region</t>
  </si>
  <si>
    <t>Monthly Salary (KSH)</t>
  </si>
  <si>
    <t>TYPE OF COST: Capital and Recurrent</t>
  </si>
  <si>
    <t>Local Courier (Sample and Study materials)</t>
  </si>
  <si>
    <t>Total cost (KSH)</t>
  </si>
  <si>
    <t>Role</t>
  </si>
  <si>
    <t>Service delivery</t>
  </si>
  <si>
    <t>Transport (KSH)</t>
  </si>
  <si>
    <t>Duration (Hours)</t>
  </si>
  <si>
    <t>Duration (min)</t>
  </si>
  <si>
    <t>Peer Educator</t>
  </si>
  <si>
    <t>Study Director</t>
  </si>
  <si>
    <t>Sub-Total</t>
  </si>
  <si>
    <t>Nairobi Sub-Total</t>
  </si>
  <si>
    <t>Total for Nairobi and Coast</t>
  </si>
  <si>
    <t>Total Cost (USD)</t>
  </si>
  <si>
    <t>Job Group</t>
  </si>
  <si>
    <t>Lab Supplies, Lab Tests, Stationery</t>
  </si>
  <si>
    <t>Form 5</t>
  </si>
  <si>
    <t>Communciation (Internet costs, mobile phone minutes)</t>
  </si>
  <si>
    <t>Personnel (Net costs includes salaries, benefits, allowances)</t>
  </si>
  <si>
    <t xml:space="preserve">Overhead (Rent, photocopy, printing, binding)
</t>
  </si>
  <si>
    <t>Development of HCV Standard Operating Procedures and Training Materials</t>
  </si>
  <si>
    <t>Principal Investigator</t>
  </si>
  <si>
    <t>Refresher Training</t>
  </si>
  <si>
    <t xml:space="preserve">Micro-planning </t>
  </si>
  <si>
    <t>Lab, Stationery, Supplies</t>
  </si>
  <si>
    <t>Overhead (Electricity, Utilities)</t>
  </si>
  <si>
    <t>Development of Standard Operating Procedures and Training Materials</t>
  </si>
  <si>
    <t>John Scott</t>
  </si>
  <si>
    <t>Brandon Guthrie</t>
  </si>
  <si>
    <t>Aliza Monroe-Wise</t>
  </si>
  <si>
    <t>Joyce Bonke</t>
  </si>
  <si>
    <t>Form 2: Initial Training</t>
  </si>
  <si>
    <t>Form 1: Microplanning</t>
  </si>
  <si>
    <t>Data Consultant</t>
  </si>
  <si>
    <t>Clinician</t>
  </si>
  <si>
    <t>Service Delivery</t>
  </si>
  <si>
    <t>Unit cost (KSH)</t>
  </si>
  <si>
    <t>Development of SOP and Training Materials</t>
  </si>
  <si>
    <t>Start-up Meeting</t>
  </si>
  <si>
    <t>Time and Motion Personnel</t>
  </si>
  <si>
    <t>Form 6</t>
  </si>
  <si>
    <t>Start-up Activities</t>
  </si>
  <si>
    <t>Description</t>
  </si>
  <si>
    <t>Development of SOPs for HCV screening, diagnosis and treatment as wel as training materials for service providers including peer educators, health advisors and clinicians</t>
  </si>
  <si>
    <t>Recurrent Activities</t>
  </si>
  <si>
    <t>Initial meeting of study director and coordinator with service providers to sensitize them about the study and their roles in the 8 study sites and supervision to monitor adherence to SOPs and ensure quality services to clients</t>
  </si>
  <si>
    <t>Repeat training once in the study year, for service providers, to monitor continued adherence to SOPs and ensure quality services to clients</t>
  </si>
  <si>
    <t>Initial training priori to the start of the study, for service providers in the specific roles in the HCV care cascade</t>
  </si>
  <si>
    <t>Use of Capital Goods</t>
  </si>
  <si>
    <t>Procurement of Laboratory Supplies and Stationery</t>
  </si>
  <si>
    <t>Laboratory Tests and Physical Examinations</t>
  </si>
  <si>
    <t>Acquisition of Laboratory Supplies and Stationery for HCV activities including screening, diagnosis and treatment</t>
  </si>
  <si>
    <t>HCV PCR, Confirmatory and Viral Load tests, additional blood tests and physical examinations to monitor HCV treatment and manage side effects</t>
  </si>
  <si>
    <t>Use of air time bundles for internet and phone credit for calls and messages for HCV activities</t>
  </si>
  <si>
    <t>Local travel for study staff to conduct initial training and start up meetings in Nairobi and Coast regions. International travel from the US to Kenya by study director to conduct SOP and training material development. Sample collection, transportation to Nairobi lab and return of results. Travel reimbursement for peer educators for client follow-up.</t>
  </si>
  <si>
    <t>Continued use for HCV activities, of capital goods including equipment purchased and used in the SHARP study, including computers, tablets, printers, furniture and phones</t>
  </si>
  <si>
    <t>Payment for Overheads</t>
  </si>
  <si>
    <t>Payment for rent for 8 study sites, printing, photocopying, and binding documents for HCV activities</t>
  </si>
  <si>
    <t>Sub-total (Nairobi)</t>
  </si>
  <si>
    <t>Sub-total (Coast)</t>
  </si>
  <si>
    <t>Total Cost (KSH)</t>
  </si>
  <si>
    <t xml:space="preserve">Coast </t>
  </si>
  <si>
    <t>Duration (Days)</t>
  </si>
  <si>
    <t>Number of Personnel</t>
  </si>
  <si>
    <t>Total Time (min)</t>
  </si>
  <si>
    <t>Assumptions</t>
  </si>
  <si>
    <t>Nights</t>
  </si>
  <si>
    <t>Transport Type</t>
  </si>
  <si>
    <t>Return Air Fare (Nairobi to Coast)</t>
  </si>
  <si>
    <t>Return Ground Fare (Nairobi to Coast)</t>
  </si>
  <si>
    <t>HCV PCR Test</t>
  </si>
  <si>
    <t>LEVEL OF THE SPENDING UNIT</t>
  </si>
  <si>
    <t>NAME AND LOCATION OF THE SPENDING UNIT</t>
  </si>
  <si>
    <t xml:space="preserve">SST Vacutainer tubes BD 5ml </t>
  </si>
  <si>
    <t>Ngara Health Centre, Pangani, Githurai, Kawangware, Reachout, Mewa Kilifi, Mewa Mtwapa, Omari Project</t>
  </si>
  <si>
    <t>Document wallet clear</t>
  </si>
  <si>
    <t>Journal books 1 Quire</t>
  </si>
  <si>
    <t>Note books small for training</t>
  </si>
  <si>
    <t>Form 7</t>
  </si>
  <si>
    <t>ACTIVITY: Equipment, Overhead, Communication, Transport</t>
  </si>
  <si>
    <t xml:space="preserve">Iris Camera </t>
  </si>
  <si>
    <t xml:space="preserve">Rent  Unitid office </t>
  </si>
  <si>
    <t xml:space="preserve">ERC Approval </t>
  </si>
  <si>
    <t xml:space="preserve">ERC renewal and modification </t>
  </si>
  <si>
    <t xml:space="preserve">Iris Licence renewal </t>
  </si>
  <si>
    <t>Participants reimbursments</t>
  </si>
  <si>
    <t xml:space="preserve">Participants Reimbursments </t>
  </si>
  <si>
    <t xml:space="preserve">Participants refreshments </t>
  </si>
  <si>
    <t>Screening</t>
  </si>
  <si>
    <t>Treatment Initiation</t>
  </si>
  <si>
    <t>Results Dissemination</t>
  </si>
  <si>
    <t>Screening for Side Effects</t>
  </si>
  <si>
    <t>Symptom Screening for Side Effects</t>
  </si>
  <si>
    <t>Experiential Survey</t>
  </si>
  <si>
    <t>Symptom Screening and Physical Exam</t>
  </si>
  <si>
    <t>Counseling</t>
  </si>
  <si>
    <t>Adherence Counseling</t>
  </si>
  <si>
    <t>Administering First DOT dose</t>
  </si>
  <si>
    <t>Administering Subsequent DOT dose</t>
  </si>
  <si>
    <t>Treatment Plan Options</t>
  </si>
  <si>
    <t>Health Education</t>
  </si>
  <si>
    <t>Lab Exam Sample Collection</t>
  </si>
  <si>
    <t>Personnel</t>
  </si>
  <si>
    <t xml:space="preserve">NAME AND LOCATION OF THE SPENDING UNIT </t>
  </si>
  <si>
    <t>Oversight</t>
  </si>
  <si>
    <t>G</t>
  </si>
  <si>
    <t>L</t>
  </si>
  <si>
    <t>T</t>
  </si>
  <si>
    <t>Paul Macharia</t>
  </si>
  <si>
    <t>Cost (KSH)</t>
  </si>
  <si>
    <t>Cost (USD)</t>
  </si>
  <si>
    <t>Assumption: Nairobi median time for administering subsequent dose = 1</t>
  </si>
  <si>
    <t xml:space="preserve">Total </t>
  </si>
  <si>
    <t>Reach Out</t>
  </si>
  <si>
    <t>Mewa Mtwapa</t>
  </si>
  <si>
    <t>Mewa Kilifi</t>
  </si>
  <si>
    <t>Omari Project</t>
  </si>
  <si>
    <t xml:space="preserve">Clinician </t>
  </si>
  <si>
    <t>Total Nairobi and Coast</t>
  </si>
  <si>
    <t>Cost per min (KSH)</t>
  </si>
  <si>
    <t xml:space="preserve">Sub-total </t>
  </si>
  <si>
    <t>Coast Site Representatives</t>
  </si>
  <si>
    <t>Nairobi Site Representatives</t>
  </si>
  <si>
    <t>Total Refreshments (KSH)</t>
  </si>
  <si>
    <t>Coast Sub-total</t>
  </si>
  <si>
    <t>Total Initial Training costs - Nairobi and Coast Regions</t>
  </si>
  <si>
    <t>Peer Educator Transport Cost per Day</t>
  </si>
  <si>
    <t xml:space="preserve">Refresher training during the study, to ensure adherence to study protocols by the service providers </t>
  </si>
  <si>
    <t>HCV Study</t>
  </si>
  <si>
    <t>Number of useful years</t>
  </si>
  <si>
    <t xml:space="preserve">Annualization factor accounting for 3% Discount Rate </t>
  </si>
  <si>
    <t>Clients Treated</t>
  </si>
  <si>
    <t>Proportion of Clients Treated</t>
  </si>
  <si>
    <t>Staff</t>
  </si>
  <si>
    <t>Total Cost Nairobi and Coast</t>
  </si>
  <si>
    <t>Number of Useful Years</t>
  </si>
  <si>
    <t>Proportion</t>
  </si>
  <si>
    <t>Annual Total Cost for Lab, Stationery and Supllies</t>
  </si>
  <si>
    <t>Costs per Client</t>
  </si>
  <si>
    <t>Total Costs</t>
  </si>
  <si>
    <t>Annual Costs</t>
  </si>
  <si>
    <t>Total Training Costs</t>
  </si>
  <si>
    <t xml:space="preserve">USD </t>
  </si>
  <si>
    <t>Total Cost per Client</t>
  </si>
  <si>
    <t xml:space="preserve">Personnel </t>
  </si>
  <si>
    <t>Refreshments (KSH)</t>
  </si>
  <si>
    <t xml:space="preserve">Transport (KSH) </t>
  </si>
  <si>
    <t>Recurrent Costs</t>
  </si>
  <si>
    <t>Start-up Costs</t>
  </si>
  <si>
    <t>Year 2020-2021</t>
  </si>
  <si>
    <t xml:space="preserve">Form 3: Refresher Training </t>
  </si>
  <si>
    <t>List of Data Collection Forms</t>
  </si>
  <si>
    <t>FORM 5: Personnel</t>
  </si>
  <si>
    <t>TYPE OF COST: Implementation</t>
  </si>
  <si>
    <t>FORM 7: Equipment, Transport and Overhead</t>
  </si>
  <si>
    <t>S</t>
  </si>
  <si>
    <t>Q</t>
  </si>
  <si>
    <t>M</t>
  </si>
  <si>
    <t>N</t>
  </si>
  <si>
    <t>F</t>
  </si>
  <si>
    <t>Client Navigation</t>
  </si>
  <si>
    <t>Site Representative</t>
  </si>
  <si>
    <t xml:space="preserve">Consultation </t>
  </si>
  <si>
    <t>HCV Consultant</t>
  </si>
  <si>
    <t>Lead Investigator</t>
  </si>
  <si>
    <t>Consultation</t>
  </si>
  <si>
    <t>Specialist Consultation</t>
  </si>
  <si>
    <t xml:space="preserve">Assume Cost per day instead of Per diem of KSH 9675 for Study Director and Coordinator </t>
  </si>
  <si>
    <t>Cost for SOP/ Material Development and Start-up Meetings Satff is based on their MOH Salary equivalents (See Personnel tab)</t>
  </si>
  <si>
    <t>Total Costs Nairobi and Coast</t>
  </si>
  <si>
    <t>Activity needed for the  intervention? (1=Yes, 2=No)</t>
  </si>
  <si>
    <t>MOH typically conducts this activity? (1=Yes, 2=No)</t>
  </si>
  <si>
    <t xml:space="preserve">For SOP/Material Development and Training, Staff Cost is estimated by the MOH salary equivalent to Job Group.  Health Advisor, Lab Technologist, Pharmaceutical Technologist, Nurse and Counselor are on the same Job Group L. Peer Educators are on Job  Group F, with a basic salary and no allowances. </t>
  </si>
  <si>
    <t>See References to MOH Salary scales below: https://publicservice.go.ke/wp-content/uploads/2024/03/Circular-State-Corporations-Guideliness.pdf, https://src.go.ke/wp-content/uploads/2020/07/Phase-IV-Salary-Review-for-County-Government-Employees-at-the-Executive.pdf</t>
  </si>
  <si>
    <t>Source of Finances</t>
  </si>
  <si>
    <t>Number of staff</t>
  </si>
  <si>
    <t xml:space="preserve">Type </t>
  </si>
  <si>
    <t>Activity needed for GILEAD study? (1=Yes, 2=No)</t>
  </si>
  <si>
    <t>MOH (NASCOP) conducts this activity? (1=Yes, 2=No)</t>
  </si>
  <si>
    <t>Total Cost for Training (KSH)</t>
  </si>
  <si>
    <t>Total Cost for Training (USD)</t>
  </si>
  <si>
    <t xml:space="preserve">Budget from UW Seattle </t>
  </si>
  <si>
    <t>Budget from MOH (NASCOP)</t>
  </si>
  <si>
    <t>Initial training on the study, roles and expecrations - Pangani site (23rd November, 2020)</t>
  </si>
  <si>
    <t>Initial training on the study, roles and expecrations - Githurai site (23rd November, 2020)</t>
  </si>
  <si>
    <t>Initial training on the study, roles and expecrations - MSFsite (25th November, 2020)</t>
  </si>
  <si>
    <t>Initial training on the study, roles and expecrations - Ngara site (3rd December, 2020)</t>
  </si>
  <si>
    <t>Training Costs per Client</t>
  </si>
  <si>
    <t>Number of Staff</t>
  </si>
  <si>
    <t>Cost per hour</t>
  </si>
  <si>
    <t>Cost per min (USD)</t>
  </si>
  <si>
    <t>Online Refresher Training</t>
  </si>
  <si>
    <t>In-Person Initial Training</t>
  </si>
  <si>
    <t>Accommodation (KSH)</t>
  </si>
  <si>
    <t>NAME OF THE SPENDING UNIT</t>
  </si>
  <si>
    <t xml:space="preserve">Number of useful years </t>
  </si>
  <si>
    <t>Subtotal - Nairobi</t>
  </si>
  <si>
    <t>Subtotal - Coast</t>
  </si>
  <si>
    <t>Nameof Recurrent Expenses</t>
  </si>
  <si>
    <t>Name of Capital Expenses</t>
  </si>
  <si>
    <t>Research (Excluded)</t>
  </si>
  <si>
    <t xml:space="preserve">Overhead </t>
  </si>
  <si>
    <t xml:space="preserve">Transport </t>
  </si>
  <si>
    <t>Transport</t>
  </si>
  <si>
    <t>Monthly Medical (KSH)</t>
  </si>
  <si>
    <t>Monthly Benefits (KSH)</t>
  </si>
  <si>
    <t>Monthly Income (KSH)</t>
  </si>
  <si>
    <t xml:space="preserve">Annual Working days </t>
  </si>
  <si>
    <t xml:space="preserve">Monthly Working days </t>
  </si>
  <si>
    <t>Daily Income (KSH)</t>
  </si>
  <si>
    <t>Daily minutes (8 hour-day)</t>
  </si>
  <si>
    <t>Income per minute (KSH)</t>
  </si>
  <si>
    <t>Income per minute (USD)</t>
  </si>
  <si>
    <t xml:space="preserve">Personnel Income (Salary and Benefits) </t>
  </si>
  <si>
    <t xml:space="preserve">Working days per year (Minus 12 public holidays and 20 vacation days) </t>
  </si>
  <si>
    <t>Clinicians</t>
  </si>
  <si>
    <t>Source</t>
  </si>
  <si>
    <t>Time and Motion Excel sheet</t>
  </si>
  <si>
    <t xml:space="preserve">Time and Motion Personnel </t>
  </si>
  <si>
    <t>Median Time (min)</t>
  </si>
  <si>
    <t xml:space="preserve">Peer Educator </t>
  </si>
  <si>
    <t>Total - Nairobi and Coast</t>
  </si>
  <si>
    <t>Laboratory Tests, Kits, Supplies And Stationery</t>
  </si>
  <si>
    <t>TYPE OF COST</t>
  </si>
  <si>
    <t>ACTIVITY</t>
  </si>
  <si>
    <t>Source of Funding UW Seattle and Kenya = 1, Other = 2</t>
  </si>
  <si>
    <t>Needed for implementation and scale up (1=Yes, 2=No)</t>
  </si>
  <si>
    <t>Clinical</t>
  </si>
  <si>
    <t>Stationery</t>
  </si>
  <si>
    <t>Supplies</t>
  </si>
  <si>
    <t xml:space="preserve"> Lab</t>
  </si>
  <si>
    <t>Sub-total Clinical</t>
  </si>
  <si>
    <t>Sub-total Stationery</t>
  </si>
  <si>
    <t>Sub-total Supplies</t>
  </si>
  <si>
    <t>Sub-total Lab Tests</t>
  </si>
  <si>
    <t>Lab Tests</t>
  </si>
  <si>
    <t>Number Clients Treated</t>
  </si>
  <si>
    <t xml:space="preserve">Clinical </t>
  </si>
  <si>
    <t xml:space="preserve">Annual Clinical </t>
  </si>
  <si>
    <t>Annual Stationery</t>
  </si>
  <si>
    <t>Annual Supplies</t>
  </si>
  <si>
    <t>Annual Lab Tests</t>
  </si>
  <si>
    <t>Annual Costs per Client - Nairobi</t>
  </si>
  <si>
    <t>Annual Costs per Client - Coast</t>
  </si>
  <si>
    <t>Total Costs per Client - Nairobi and Coast</t>
  </si>
  <si>
    <t>Annual Cost - Nairobi</t>
  </si>
  <si>
    <t>Annual Cost - Coast</t>
  </si>
  <si>
    <t xml:space="preserve">Screening </t>
  </si>
  <si>
    <t>Treatment initiation</t>
  </si>
  <si>
    <t>Annualized Costs</t>
  </si>
  <si>
    <t>Annualized Initial Training - Nairobi</t>
  </si>
  <si>
    <t>Annualized Initial Training - Coast</t>
  </si>
  <si>
    <t>Annualized Initial Training - Nairobi and Coast</t>
  </si>
  <si>
    <t>Annualized Refresher Training - Nairobi</t>
  </si>
  <si>
    <t>Annualized Refresher Training - Coast</t>
  </si>
  <si>
    <t>Annualized Refresher Training - Nairobi and Coast</t>
  </si>
  <si>
    <t>Annualization factor accounting for 3% Discount Rate</t>
  </si>
  <si>
    <t>Annualized Costs Nairobi</t>
  </si>
  <si>
    <t>Annualized Costs Coast</t>
  </si>
  <si>
    <t>Total Annualized Costs Nairobi and Coast</t>
  </si>
  <si>
    <t>Total Per Client Nairobi</t>
  </si>
  <si>
    <t>Frequency (Days)</t>
  </si>
  <si>
    <t>Frequency (Weeks)</t>
  </si>
  <si>
    <t>Frequency</t>
  </si>
  <si>
    <t>Daily Direct Observed Therapy (DOT)</t>
  </si>
  <si>
    <t>SVR-12 weeks after Treatment Completion</t>
  </si>
  <si>
    <t>DOT(7 days/week for 12 weeks = 84 days)</t>
  </si>
  <si>
    <t>Clients</t>
  </si>
  <si>
    <t>Total Costs per Client Nairobi and Coast</t>
  </si>
  <si>
    <t>SVR 12 weeks - HCV Negative</t>
  </si>
  <si>
    <t>Total Costs for Clients Nairobi and Coast</t>
  </si>
  <si>
    <t>Peer Educator Costs Per Client</t>
  </si>
  <si>
    <t>Total Clients Treated Nairobi</t>
  </si>
  <si>
    <t xml:space="preserve">Treatment Initiation </t>
  </si>
  <si>
    <t xml:space="preserve">Reimbursement </t>
  </si>
  <si>
    <t>Cost per Personnel</t>
  </si>
  <si>
    <t>Site</t>
  </si>
  <si>
    <t>Total Peer Educator Costs For Clients</t>
  </si>
  <si>
    <t>Activity Per Client - Nairobi</t>
  </si>
  <si>
    <t>Activity Per Client - Coast</t>
  </si>
  <si>
    <t>Clients Treated - Nairobi</t>
  </si>
  <si>
    <t>Clients Treated - Coast</t>
  </si>
  <si>
    <t>Proportion of Clients - Nairobi</t>
  </si>
  <si>
    <t>Total Costs per Client - Nairobi</t>
  </si>
  <si>
    <t>Total Costs Clients - Nairobi</t>
  </si>
  <si>
    <t>Total Per Client - Coast</t>
  </si>
  <si>
    <t>Total Costs per Client - Coast</t>
  </si>
  <si>
    <t>Proportion of Clients - Coast</t>
  </si>
  <si>
    <t>Total Costs for Clients - Coast</t>
  </si>
  <si>
    <t>Peer Educators - Nairobi</t>
  </si>
  <si>
    <t>Peer Educators - Coast</t>
  </si>
  <si>
    <t>Total Clients - Nairobi</t>
  </si>
  <si>
    <t>Total Clients - Coast</t>
  </si>
  <si>
    <t>Total Costs for Clients</t>
  </si>
  <si>
    <t>Refreshments for Each Trainer and Trainee</t>
  </si>
  <si>
    <t>Refreshments Per Person Per Day</t>
  </si>
  <si>
    <t>Accommodation Per Night</t>
  </si>
  <si>
    <t>Total Clients Treated - Coast</t>
  </si>
  <si>
    <t>Total Costs for Personnel - Nairobi</t>
  </si>
  <si>
    <t>Total Costs for Personnel - Coast</t>
  </si>
  <si>
    <t>Total Personnel Per Client</t>
  </si>
  <si>
    <t>Personnel Costs Per Client</t>
  </si>
  <si>
    <t>Personnel Costs for Clients</t>
  </si>
  <si>
    <t>Total Personnel for Clients</t>
  </si>
  <si>
    <t>Data Manager</t>
  </si>
  <si>
    <t>Costs for All Clients</t>
  </si>
  <si>
    <t>Costs Per Client</t>
  </si>
  <si>
    <t xml:space="preserve">Annual Total Costs </t>
  </si>
  <si>
    <t>Data Manager Costs Per Client</t>
  </si>
  <si>
    <t>Data Manager Costs for All Clients</t>
  </si>
  <si>
    <t>Lab Technologist Costs Per Client</t>
  </si>
  <si>
    <t>Lab Technologist Costs for All Clients</t>
  </si>
  <si>
    <t>Time (Hours)/day</t>
  </si>
  <si>
    <t>Total Cost for all Clients</t>
  </si>
  <si>
    <t>Total Training Costs for all Clients</t>
  </si>
  <si>
    <t>Total for All Clients</t>
  </si>
  <si>
    <t>Total for All Client</t>
  </si>
  <si>
    <t>Total Cost for All Clients</t>
  </si>
  <si>
    <t>Annualization Factor</t>
  </si>
  <si>
    <t>Shared cost. Purchased by SHARP study</t>
  </si>
  <si>
    <t>Number of Useful Years for Capital Items</t>
  </si>
  <si>
    <t>Annualization Factor using 3% Discount Rate (From Standard Tables, Creese, et al. 1994)</t>
  </si>
  <si>
    <t>Annualized Cost (KSH)</t>
  </si>
  <si>
    <t>Annualized Cost (USD)</t>
  </si>
  <si>
    <t>Shared Cost for HCV Intervention (40%)</t>
  </si>
  <si>
    <t>Cost drivers (%)</t>
  </si>
  <si>
    <t xml:space="preserve">Annual Incremental Costs per client </t>
  </si>
  <si>
    <t>Subtotal Start-up Costs</t>
  </si>
  <si>
    <t>Subtotal Recurrent Costs</t>
  </si>
  <si>
    <t>Sutotal Recurrent Costs</t>
  </si>
  <si>
    <t>Total Clients treated</t>
  </si>
  <si>
    <t>%</t>
  </si>
  <si>
    <t xml:space="preserve">Cost drivers </t>
  </si>
  <si>
    <t>Micro-planning</t>
  </si>
  <si>
    <t>In-person training</t>
  </si>
  <si>
    <t>Online refresher training</t>
  </si>
  <si>
    <t>Transportation</t>
  </si>
  <si>
    <t>Coverhead (Electricity, Utilities)</t>
  </si>
  <si>
    <t>Lab, stationery, supplies</t>
  </si>
  <si>
    <t>Total Personnel Cost (KSH)</t>
  </si>
  <si>
    <t>Initial training on the study, roles and expectations - Malindi site (15 December, 2020)</t>
  </si>
  <si>
    <t>**** Do not multiply by number of staff as this doesn’t make sense. You have already accounted for all the personnel time</t>
  </si>
  <si>
    <t>Total costs</t>
  </si>
  <si>
    <t>Input</t>
  </si>
  <si>
    <t>Total annual incremental costs per client</t>
  </si>
  <si>
    <t>Total Annual Incremental Costs</t>
  </si>
  <si>
    <t>Cost per client</t>
  </si>
  <si>
    <t>Data used for Thesis</t>
  </si>
  <si>
    <t>Total annual incremental costs for all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</si>
</sst>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_-* #,##0.00_-;\-* #,##0.00_-;_-* &quot;-&quot;??_-;_-@_-"/>
    <numFmt numFmtId="166" formatCode="_-* #,##0_-;\-* #,##0_-;_-* &quot;-&quot;??_-;_-@_-"/>
    <numFmt numFmtId="167" formatCode="_-&quot;£&quot;* #,##0.00_-;\-&quot;£&quot;* #,##0.00_-;_-&quot;£&quot;* &quot;-&quot;??_-;_-@_-"/>
    <numFmt numFmtId="168" formatCode="_([$$-409]* #,##0.00_);_([$$-409]* \(#,##0.00\);_([$$-409]* &quot;-&quot;??_);_(@_)"/>
    <numFmt numFmtId="169" formatCode="0.0%"/>
  </numFmts>
  <fonts count="47">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b/>
      <i/>
      <sz val="10"/>
      <name val="Arial"/>
      <family val="2"/>
    </font>
    <font>
      <sz val="9"/>
      <name val="Arial"/>
      <family val="2"/>
    </font>
    <font>
      <b/>
      <i/>
      <sz val="9"/>
      <name val="Arial"/>
      <family val="2"/>
    </font>
    <font>
      <sz val="10"/>
      <name val="Calibri"/>
      <family val="2"/>
      <scheme val="minor"/>
    </font>
    <font>
      <sz val="11"/>
      <name val="Calibri"/>
      <family val="2"/>
      <scheme val="minor"/>
    </font>
    <font>
      <b/>
      <sz val="10"/>
      <color indexed="10"/>
      <name val="Arial"/>
      <family val="2"/>
    </font>
    <font>
      <b/>
      <sz val="10"/>
      <color rgb="FFFF0000"/>
      <name val="Arial"/>
      <family val="2"/>
    </font>
    <font>
      <b/>
      <sz val="10"/>
      <color theme="0"/>
      <name val="Arial"/>
      <family val="2"/>
    </font>
    <font>
      <b/>
      <sz val="9"/>
      <name val="Arial"/>
      <family val="2"/>
    </font>
    <font>
      <sz val="9"/>
      <color rgb="FFFF0000"/>
      <name val="Arial"/>
      <family val="2"/>
    </font>
    <font>
      <b/>
      <sz val="9"/>
      <color theme="0"/>
      <name val="Arial"/>
      <family val="2"/>
    </font>
    <font>
      <b/>
      <u/>
      <sz val="11"/>
      <name val="Arial"/>
      <family val="2"/>
    </font>
    <font>
      <u/>
      <sz val="10"/>
      <color indexed="12"/>
      <name val="Arial"/>
      <family val="2"/>
    </font>
    <font>
      <i/>
      <sz val="9"/>
      <name val="Arial"/>
      <family val="2"/>
    </font>
    <font>
      <sz val="8"/>
      <name val="Calibri"/>
      <family val="2"/>
      <scheme val="minor"/>
    </font>
    <font>
      <sz val="10"/>
      <color theme="8"/>
      <name val="Arial"/>
      <family val="2"/>
    </font>
    <font>
      <sz val="10"/>
      <color theme="0"/>
      <name val="Arial"/>
      <family val="2"/>
    </font>
    <font>
      <sz val="11"/>
      <color theme="0"/>
      <name val="Calibri"/>
      <family val="2"/>
      <scheme val="minor"/>
    </font>
    <font>
      <sz val="9"/>
      <color theme="0"/>
      <name val="Arial"/>
      <family val="2"/>
    </font>
    <font>
      <sz val="11"/>
      <color theme="1"/>
      <name val="Arial"/>
      <family val="2"/>
    </font>
    <font>
      <b/>
      <sz val="11"/>
      <color theme="1"/>
      <name val="Arial"/>
      <family val="2"/>
    </font>
    <font>
      <sz val="11"/>
      <name val="Arial"/>
      <family val="2"/>
    </font>
    <font>
      <b/>
      <sz val="11"/>
      <name val="Arial"/>
      <family val="2"/>
    </font>
    <font>
      <sz val="11"/>
      <color theme="1"/>
      <name val="Arial   "/>
    </font>
    <font>
      <b/>
      <sz val="12"/>
      <name val="Arial"/>
      <family val="2"/>
    </font>
    <font>
      <sz val="12"/>
      <color theme="1"/>
      <name val="Arial"/>
      <family val="2"/>
    </font>
    <font>
      <sz val="12"/>
      <color rgb="FFFF0000"/>
      <name val="Arial"/>
      <family val="2"/>
    </font>
    <font>
      <b/>
      <sz val="12"/>
      <color theme="1"/>
      <name val="Arial"/>
      <family val="2"/>
    </font>
    <font>
      <sz val="12"/>
      <name val="Arial"/>
      <family val="2"/>
    </font>
    <font>
      <b/>
      <i/>
      <sz val="12"/>
      <name val="Arial"/>
      <family val="2"/>
    </font>
    <font>
      <sz val="12"/>
      <color theme="1"/>
      <name val="Calibri"/>
      <family val="2"/>
      <scheme val="minor"/>
    </font>
    <font>
      <b/>
      <u/>
      <sz val="12"/>
      <name val="Arial"/>
      <family val="2"/>
    </font>
    <font>
      <b/>
      <sz val="12"/>
      <color indexed="10"/>
      <name val="Arial"/>
      <family val="2"/>
    </font>
    <font>
      <b/>
      <sz val="12"/>
      <color indexed="12"/>
      <name val="Arial"/>
      <family val="2"/>
    </font>
    <font>
      <b/>
      <sz val="12"/>
      <name val="Arial   "/>
    </font>
    <font>
      <b/>
      <i/>
      <sz val="12"/>
      <name val="Calibri"/>
      <family val="2"/>
      <scheme val="minor"/>
    </font>
    <font>
      <sz val="12"/>
      <color theme="1"/>
      <name val="Arial   "/>
    </font>
    <font>
      <sz val="12"/>
      <name val="Calibri"/>
      <family val="2"/>
      <scheme val="minor"/>
    </font>
    <font>
      <b/>
      <sz val="12"/>
      <color rgb="FFFF0000"/>
      <name val="Arial"/>
      <family val="2"/>
    </font>
    <font>
      <sz val="18"/>
      <color rgb="FFFF0000"/>
      <name val="Calibri"/>
      <family val="2"/>
      <scheme val="minor"/>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bgColor indexed="64"/>
      </patternFill>
    </fill>
    <fill>
      <patternFill patternType="solid">
        <fgColor theme="5"/>
        <bgColor indexed="64"/>
      </patternFill>
    </fill>
    <fill>
      <patternFill patternType="solid">
        <fgColor theme="2"/>
        <bgColor indexed="64"/>
      </patternFill>
    </fill>
  </fills>
  <borders count="39">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diagonal/>
    </border>
    <border>
      <left style="medium">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theme="1"/>
      </right>
      <top style="thin">
        <color theme="1"/>
      </top>
      <bottom style="thin">
        <color theme="1"/>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43"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18" fillId="0" borderId="0" applyNumberFormat="0" applyFill="0" applyBorder="0" applyAlignment="0" applyProtection="0">
      <alignment vertical="top"/>
      <protection locked="0"/>
    </xf>
  </cellStyleXfs>
  <cellXfs count="803">
    <xf numFmtId="0" fontId="0" fillId="0" borderId="0" xfId="0"/>
    <xf numFmtId="0" fontId="4" fillId="0" borderId="0" xfId="3" applyFont="1"/>
    <xf numFmtId="0" fontId="4" fillId="2" borderId="0" xfId="3" applyFont="1" applyFill="1"/>
    <xf numFmtId="0" fontId="2" fillId="0" borderId="0" xfId="2"/>
    <xf numFmtId="0" fontId="4" fillId="0" borderId="0" xfId="3" applyFont="1" applyAlignment="1">
      <alignment horizontal="left" indent="2"/>
    </xf>
    <xf numFmtId="0" fontId="4" fillId="0" borderId="11" xfId="3" applyFont="1" applyBorder="1"/>
    <xf numFmtId="0" fontId="4" fillId="0" borderId="0" xfId="3" applyFont="1" applyAlignment="1">
      <alignment wrapText="1"/>
    </xf>
    <xf numFmtId="0" fontId="3" fillId="0" borderId="0" xfId="0" applyFont="1" applyAlignment="1">
      <alignment vertical="top"/>
    </xf>
    <xf numFmtId="0" fontId="0" fillId="0" borderId="0" xfId="0" applyAlignment="1">
      <alignment vertical="top"/>
    </xf>
    <xf numFmtId="0" fontId="7" fillId="0" borderId="0" xfId="0" applyFont="1" applyAlignment="1">
      <alignment vertical="top"/>
    </xf>
    <xf numFmtId="0" fontId="8"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xf>
    <xf numFmtId="0" fontId="2" fillId="0" borderId="0" xfId="0" applyFont="1" applyAlignment="1">
      <alignment vertical="center"/>
    </xf>
    <xf numFmtId="0" fontId="2" fillId="2" borderId="0" xfId="0" applyFont="1" applyFill="1" applyAlignment="1">
      <alignment vertical="top"/>
    </xf>
    <xf numFmtId="0" fontId="3" fillId="0" borderId="11" xfId="0" applyFont="1" applyBorder="1" applyAlignment="1">
      <alignment vertical="top"/>
    </xf>
    <xf numFmtId="164" fontId="3" fillId="0" borderId="0" xfId="0" applyNumberFormat="1" applyFont="1" applyAlignment="1">
      <alignment vertical="top"/>
    </xf>
    <xf numFmtId="164" fontId="0" fillId="0" borderId="0" xfId="0" applyNumberFormat="1" applyAlignment="1">
      <alignment vertical="top"/>
    </xf>
    <xf numFmtId="1" fontId="7" fillId="0" borderId="0" xfId="0" applyNumberFormat="1" applyFont="1" applyAlignment="1">
      <alignment vertical="top"/>
    </xf>
    <xf numFmtId="0" fontId="14" fillId="0" borderId="0" xfId="0" applyFont="1" applyAlignment="1">
      <alignment vertical="top"/>
    </xf>
    <xf numFmtId="1" fontId="7" fillId="0" borderId="0" xfId="1" applyNumberFormat="1" applyFont="1" applyFill="1" applyBorder="1" applyAlignment="1">
      <alignment horizontal="center" vertical="top"/>
    </xf>
    <xf numFmtId="1" fontId="7" fillId="0" borderId="0" xfId="0" applyNumberFormat="1" applyFont="1" applyAlignment="1">
      <alignment horizontal="center" vertical="top" wrapText="1"/>
    </xf>
    <xf numFmtId="9" fontId="7" fillId="0" borderId="0" xfId="0" applyNumberFormat="1" applyFont="1" applyAlignment="1">
      <alignment horizontal="center" vertical="top" wrapText="1"/>
    </xf>
    <xf numFmtId="1" fontId="14" fillId="0" borderId="0" xfId="1" applyNumberFormat="1" applyFont="1" applyFill="1" applyBorder="1" applyAlignment="1">
      <alignment horizontal="center" vertical="top"/>
    </xf>
    <xf numFmtId="1" fontId="14" fillId="0" borderId="0" xfId="0" applyNumberFormat="1" applyFont="1" applyAlignment="1">
      <alignment horizontal="center" vertical="top" wrapText="1"/>
    </xf>
    <xf numFmtId="9" fontId="14" fillId="0" borderId="0" xfId="0" applyNumberFormat="1" applyFont="1" applyAlignment="1">
      <alignment horizontal="center" vertical="top" wrapText="1"/>
    </xf>
    <xf numFmtId="0" fontId="14" fillId="0" borderId="0" xfId="0" applyFont="1" applyAlignment="1">
      <alignment horizontal="left" wrapText="1"/>
    </xf>
    <xf numFmtId="166" fontId="14" fillId="0" borderId="0" xfId="1" applyNumberFormat="1" applyFont="1" applyFill="1" applyBorder="1" applyAlignment="1">
      <alignment horizontal="left" wrapText="1"/>
    </xf>
    <xf numFmtId="166" fontId="14" fillId="0" borderId="0" xfId="1" applyNumberFormat="1" applyFont="1" applyFill="1" applyBorder="1" applyAlignment="1">
      <alignment horizontal="left" vertical="top" wrapText="1"/>
    </xf>
    <xf numFmtId="166" fontId="14" fillId="0" borderId="0" xfId="0" applyNumberFormat="1" applyFont="1" applyAlignment="1">
      <alignment horizontal="left" vertical="top" wrapText="1"/>
    </xf>
    <xf numFmtId="43" fontId="3" fillId="0" borderId="0" xfId="0" applyNumberFormat="1" applyFont="1" applyAlignment="1">
      <alignment horizontal="center" vertical="center" wrapText="1"/>
    </xf>
    <xf numFmtId="0" fontId="7" fillId="0" borderId="0" xfId="0" applyFont="1" applyAlignment="1">
      <alignment vertical="top" wrapText="1"/>
    </xf>
    <xf numFmtId="1" fontId="15" fillId="0" borderId="0" xfId="0" applyNumberFormat="1" applyFont="1" applyAlignment="1">
      <alignment vertical="top" wrapText="1"/>
    </xf>
    <xf numFmtId="1" fontId="2" fillId="0" borderId="0" xfId="0" applyNumberFormat="1" applyFont="1" applyAlignment="1">
      <alignment vertical="top"/>
    </xf>
    <xf numFmtId="0" fontId="7" fillId="0" borderId="0" xfId="0" applyFont="1" applyAlignment="1">
      <alignment horizontal="center" vertical="center"/>
    </xf>
    <xf numFmtId="0" fontId="2" fillId="0" borderId="0" xfId="0" applyFont="1"/>
    <xf numFmtId="0" fontId="2" fillId="0" borderId="0" xfId="0" applyFont="1" applyAlignment="1">
      <alignment wrapText="1"/>
    </xf>
    <xf numFmtId="0" fontId="9" fillId="0" borderId="0" xfId="0" applyFont="1" applyAlignment="1">
      <alignment horizontal="left" vertical="center"/>
    </xf>
    <xf numFmtId="168" fontId="7" fillId="0" borderId="0" xfId="5" applyNumberFormat="1" applyFont="1" applyFill="1" applyBorder="1" applyAlignment="1">
      <alignment horizontal="center" vertical="center"/>
    </xf>
    <xf numFmtId="1" fontId="7" fillId="0" borderId="0" xfId="5" applyNumberFormat="1" applyFont="1" applyFill="1" applyBorder="1" applyAlignment="1">
      <alignment horizontal="center" vertical="center"/>
    </xf>
    <xf numFmtId="166" fontId="15" fillId="0" borderId="0" xfId="4" applyNumberFormat="1" applyFont="1" applyFill="1" applyBorder="1" applyAlignment="1">
      <alignment horizontal="center" vertical="center"/>
    </xf>
    <xf numFmtId="0" fontId="15" fillId="0" borderId="0" xfId="0" applyFont="1" applyAlignment="1">
      <alignment horizontal="center" vertical="center"/>
    </xf>
    <xf numFmtId="164" fontId="3" fillId="0" borderId="0" xfId="0" applyNumberFormat="1" applyFont="1" applyAlignment="1">
      <alignment vertical="top" wrapText="1"/>
    </xf>
    <xf numFmtId="166" fontId="7" fillId="0" borderId="0" xfId="4" applyNumberFormat="1" applyFont="1" applyFill="1" applyBorder="1" applyAlignment="1">
      <alignment horizontal="center" vertical="center"/>
    </xf>
    <xf numFmtId="0" fontId="3" fillId="0" borderId="0" xfId="0" applyFont="1"/>
    <xf numFmtId="0" fontId="0" fillId="0" borderId="0" xfId="0" applyAlignment="1">
      <alignment wrapText="1"/>
    </xf>
    <xf numFmtId="16" fontId="2" fillId="0" borderId="0" xfId="0" applyNumberFormat="1" applyFont="1" applyAlignment="1">
      <alignment vertical="top"/>
    </xf>
    <xf numFmtId="0" fontId="19" fillId="0" borderId="0" xfId="0" applyFont="1" applyAlignment="1">
      <alignment vertical="top"/>
    </xf>
    <xf numFmtId="0" fontId="12" fillId="0" borderId="0" xfId="0" applyFont="1" applyAlignment="1">
      <alignment vertical="top"/>
    </xf>
    <xf numFmtId="0" fontId="2" fillId="0" borderId="0" xfId="0" applyFont="1" applyAlignment="1">
      <alignment horizontal="right" vertical="top"/>
    </xf>
    <xf numFmtId="0" fontId="11" fillId="0" borderId="0" xfId="0" applyFont="1"/>
    <xf numFmtId="0" fontId="7" fillId="0" borderId="0" xfId="0" applyFont="1" applyAlignment="1">
      <alignment horizontal="left" wrapText="1"/>
    </xf>
    <xf numFmtId="0" fontId="7" fillId="0" borderId="11" xfId="0" applyFont="1" applyBorder="1" applyAlignment="1">
      <alignment vertical="top"/>
    </xf>
    <xf numFmtId="164" fontId="2" fillId="0" borderId="0" xfId="3" applyNumberFormat="1" applyAlignment="1">
      <alignment vertical="top"/>
    </xf>
    <xf numFmtId="164" fontId="2" fillId="0" borderId="0" xfId="3" applyNumberFormat="1" applyAlignment="1">
      <alignment horizontal="center" vertical="center"/>
    </xf>
    <xf numFmtId="164" fontId="2" fillId="0" borderId="0" xfId="3" applyNumberFormat="1" applyAlignment="1">
      <alignment horizontal="center" vertical="center" wrapText="1"/>
    </xf>
    <xf numFmtId="49" fontId="12" fillId="0" borderId="0" xfId="0" applyNumberFormat="1" applyFont="1" applyAlignment="1">
      <alignment vertical="top"/>
    </xf>
    <xf numFmtId="49" fontId="14" fillId="0" borderId="0" xfId="0" applyNumberFormat="1" applyFont="1" applyAlignment="1">
      <alignment horizontal="center" vertical="top" wrapText="1"/>
    </xf>
    <xf numFmtId="1" fontId="7" fillId="0" borderId="0" xfId="1" applyNumberFormat="1" applyFont="1" applyFill="1" applyBorder="1" applyAlignment="1">
      <alignment horizontal="right" vertical="top"/>
    </xf>
    <xf numFmtId="1" fontId="14" fillId="0" borderId="0" xfId="1" applyNumberFormat="1" applyFont="1" applyFill="1" applyBorder="1" applyAlignment="1">
      <alignment horizontal="right" vertical="top"/>
    </xf>
    <xf numFmtId="0" fontId="14" fillId="0" borderId="0" xfId="0" applyFont="1" applyAlignment="1">
      <alignment horizontal="right" vertical="top" wrapText="1"/>
    </xf>
    <xf numFmtId="9" fontId="14" fillId="0" borderId="0" xfId="0" applyNumberFormat="1" applyFont="1" applyAlignment="1">
      <alignment horizontal="right" vertical="top" wrapText="1"/>
    </xf>
    <xf numFmtId="164" fontId="2" fillId="0" borderId="0" xfId="0" applyNumberFormat="1" applyFont="1" applyAlignment="1">
      <alignment vertical="top"/>
    </xf>
    <xf numFmtId="0" fontId="7" fillId="0" borderId="11" xfId="0" applyFont="1" applyBorder="1" applyAlignment="1">
      <alignment vertical="top" wrapText="1"/>
    </xf>
    <xf numFmtId="0" fontId="17" fillId="0" borderId="11" xfId="0" applyFont="1" applyBorder="1" applyAlignment="1">
      <alignment horizontal="left" vertical="top"/>
    </xf>
    <xf numFmtId="0" fontId="17" fillId="0" borderId="11" xfId="0" applyFont="1" applyBorder="1" applyAlignment="1">
      <alignment horizontal="justify" vertical="top" wrapText="1"/>
    </xf>
    <xf numFmtId="1" fontId="7" fillId="0" borderId="11" xfId="0" applyNumberFormat="1" applyFont="1" applyBorder="1" applyAlignment="1">
      <alignment vertical="top"/>
    </xf>
    <xf numFmtId="166" fontId="24" fillId="2" borderId="11" xfId="1" applyNumberFormat="1" applyFont="1" applyFill="1" applyBorder="1" applyAlignment="1">
      <alignment horizontal="left" wrapText="1"/>
    </xf>
    <xf numFmtId="166" fontId="24" fillId="2" borderId="11" xfId="1" applyNumberFormat="1" applyFont="1" applyFill="1" applyBorder="1" applyAlignment="1">
      <alignment horizontal="left" vertical="top" wrapText="1"/>
    </xf>
    <xf numFmtId="0" fontId="24" fillId="2" borderId="11" xfId="0" applyFont="1" applyFill="1" applyBorder="1" applyAlignment="1">
      <alignment horizontal="left" vertical="top" wrapText="1"/>
    </xf>
    <xf numFmtId="43" fontId="13" fillId="2" borderId="11" xfId="0" applyNumberFormat="1" applyFont="1" applyFill="1" applyBorder="1" applyAlignment="1">
      <alignment horizontal="center" vertical="center" wrapText="1"/>
    </xf>
    <xf numFmtId="166" fontId="16" fillId="2" borderId="11" xfId="1" applyNumberFormat="1" applyFont="1" applyFill="1" applyBorder="1" applyAlignment="1">
      <alignment horizontal="left" wrapText="1"/>
    </xf>
    <xf numFmtId="166" fontId="16" fillId="2" borderId="11" xfId="1" applyNumberFormat="1" applyFont="1" applyFill="1" applyBorder="1" applyAlignment="1">
      <alignment horizontal="left" vertical="top" wrapText="1"/>
    </xf>
    <xf numFmtId="166" fontId="16" fillId="2" borderId="11" xfId="0" applyNumberFormat="1" applyFont="1" applyFill="1" applyBorder="1" applyAlignment="1">
      <alignment horizontal="left" vertical="top" wrapText="1"/>
    </xf>
    <xf numFmtId="43" fontId="24" fillId="2" borderId="11" xfId="0" applyNumberFormat="1" applyFont="1" applyFill="1" applyBorder="1" applyAlignment="1">
      <alignment horizontal="left" vertical="top" wrapText="1"/>
    </xf>
    <xf numFmtId="43" fontId="22" fillId="2" borderId="11" xfId="0" applyNumberFormat="1" applyFont="1" applyFill="1" applyBorder="1" applyAlignment="1">
      <alignment horizontal="center" vertical="center" wrapText="1"/>
    </xf>
    <xf numFmtId="43" fontId="16" fillId="2" borderId="11" xfId="1" applyFont="1" applyFill="1" applyBorder="1" applyAlignment="1">
      <alignment horizontal="left" wrapText="1"/>
    </xf>
    <xf numFmtId="0" fontId="16" fillId="2" borderId="11" xfId="0" applyFont="1" applyFill="1" applyBorder="1" applyAlignment="1">
      <alignment horizontal="right" wrapText="1"/>
    </xf>
    <xf numFmtId="1" fontId="24" fillId="2" borderId="11" xfId="1" applyNumberFormat="1" applyFont="1" applyFill="1" applyBorder="1" applyAlignment="1">
      <alignment horizontal="center" vertical="top"/>
    </xf>
    <xf numFmtId="164" fontId="13" fillId="2" borderId="11" xfId="0" applyNumberFormat="1" applyFont="1" applyFill="1" applyBorder="1" applyAlignment="1">
      <alignment vertical="top" wrapText="1"/>
    </xf>
    <xf numFmtId="2" fontId="23" fillId="2" borderId="11" xfId="0" applyNumberFormat="1" applyFont="1" applyFill="1" applyBorder="1"/>
    <xf numFmtId="166" fontId="14" fillId="0" borderId="11" xfId="1" applyNumberFormat="1" applyFont="1" applyFill="1" applyBorder="1" applyAlignment="1">
      <alignment horizontal="left" wrapText="1"/>
    </xf>
    <xf numFmtId="166" fontId="14" fillId="0" borderId="11" xfId="1" applyNumberFormat="1" applyFont="1" applyFill="1" applyBorder="1" applyAlignment="1">
      <alignment horizontal="left" vertical="top" wrapText="1"/>
    </xf>
    <xf numFmtId="166" fontId="14" fillId="0" borderId="11" xfId="0" applyNumberFormat="1" applyFont="1" applyBorder="1" applyAlignment="1">
      <alignment horizontal="left" vertical="top" wrapText="1"/>
    </xf>
    <xf numFmtId="164" fontId="7" fillId="0" borderId="11" xfId="0" applyNumberFormat="1" applyFont="1" applyBorder="1" applyAlignment="1">
      <alignment vertical="top" wrapText="1"/>
    </xf>
    <xf numFmtId="0" fontId="3" fillId="0" borderId="16" xfId="0" applyFont="1" applyBorder="1" applyAlignment="1">
      <alignment vertical="top" wrapText="1"/>
    </xf>
    <xf numFmtId="0" fontId="10" fillId="0" borderId="0" xfId="0" applyFont="1" applyAlignment="1">
      <alignment vertical="top"/>
    </xf>
    <xf numFmtId="0" fontId="25" fillId="0" borderId="11" xfId="0" applyFont="1" applyBorder="1"/>
    <xf numFmtId="0" fontId="25" fillId="0" borderId="11" xfId="0" applyFont="1" applyBorder="1" applyAlignment="1">
      <alignment wrapText="1"/>
    </xf>
    <xf numFmtId="0" fontId="27" fillId="0" borderId="11" xfId="0" applyFont="1" applyBorder="1" applyAlignment="1">
      <alignment wrapText="1"/>
    </xf>
    <xf numFmtId="0" fontId="28" fillId="0" borderId="11" xfId="0" applyFont="1" applyBorder="1" applyAlignment="1">
      <alignment wrapText="1"/>
    </xf>
    <xf numFmtId="0" fontId="27" fillId="0" borderId="11" xfId="0" applyFont="1" applyBorder="1"/>
    <xf numFmtId="0" fontId="4" fillId="2" borderId="11" xfId="3" applyFont="1" applyFill="1" applyBorder="1"/>
    <xf numFmtId="0" fontId="5" fillId="0" borderId="0" xfId="2" applyFont="1" applyAlignment="1">
      <alignment wrapText="1"/>
    </xf>
    <xf numFmtId="0" fontId="4" fillId="0" borderId="0" xfId="3" applyFont="1" applyAlignment="1">
      <alignment horizontal="left" wrapText="1" indent="4"/>
    </xf>
    <xf numFmtId="0" fontId="21" fillId="0" borderId="0" xfId="3" applyFont="1" applyAlignment="1">
      <alignment horizontal="left" wrapText="1" indent="4"/>
    </xf>
    <xf numFmtId="0" fontId="3" fillId="0" borderId="0" xfId="2" applyFont="1" applyAlignment="1">
      <alignment wrapText="1"/>
    </xf>
    <xf numFmtId="0" fontId="2" fillId="0" borderId="0" xfId="3" applyAlignment="1">
      <alignment horizontal="left" wrapText="1" indent="4"/>
    </xf>
    <xf numFmtId="0" fontId="4" fillId="0" borderId="17" xfId="3" applyFont="1" applyBorder="1"/>
    <xf numFmtId="0" fontId="4" fillId="2" borderId="17" xfId="3" applyFont="1" applyFill="1" applyBorder="1"/>
    <xf numFmtId="0" fontId="4" fillId="0" borderId="0" xfId="3" applyFont="1" applyAlignment="1">
      <alignment horizontal="center"/>
    </xf>
    <xf numFmtId="0" fontId="26" fillId="0" borderId="11" xfId="0" applyFont="1" applyBorder="1"/>
    <xf numFmtId="0" fontId="25" fillId="0" borderId="10" xfId="0" applyFont="1" applyBorder="1" applyAlignment="1">
      <alignment wrapText="1"/>
    </xf>
    <xf numFmtId="0" fontId="25" fillId="0" borderId="19" xfId="0" applyFont="1" applyBorder="1" applyAlignment="1">
      <alignment wrapText="1"/>
    </xf>
    <xf numFmtId="0" fontId="27" fillId="3" borderId="11" xfId="0" applyFont="1" applyFill="1" applyBorder="1" applyAlignment="1">
      <alignment horizontal="left"/>
    </xf>
    <xf numFmtId="0" fontId="25" fillId="0" borderId="11" xfId="0" quotePrefix="1" applyFont="1" applyBorder="1" applyAlignment="1">
      <alignment horizontal="justify" vertical="top" wrapText="1"/>
    </xf>
    <xf numFmtId="0" fontId="27" fillId="0" borderId="11" xfId="0" applyFont="1" applyBorder="1" applyAlignment="1">
      <alignment horizontal="left" vertical="top" wrapText="1"/>
    </xf>
    <xf numFmtId="0" fontId="27" fillId="0" borderId="11" xfId="0" applyFont="1" applyBorder="1" applyAlignment="1">
      <alignment horizontal="left" vertical="top"/>
    </xf>
    <xf numFmtId="0" fontId="27" fillId="0" borderId="11" xfId="0" applyFont="1" applyBorder="1" applyAlignment="1">
      <alignment vertical="top" wrapText="1"/>
    </xf>
    <xf numFmtId="0" fontId="27" fillId="0" borderId="11" xfId="0" applyFont="1" applyBorder="1" applyAlignment="1">
      <alignment vertical="top"/>
    </xf>
    <xf numFmtId="0" fontId="27" fillId="0" borderId="11" xfId="0" applyFont="1" applyBorder="1" applyAlignment="1">
      <alignment horizontal="right" vertical="top"/>
    </xf>
    <xf numFmtId="0" fontId="28" fillId="0" borderId="11" xfId="0" applyFont="1" applyBorder="1" applyAlignment="1">
      <alignment horizontal="center" vertical="top"/>
    </xf>
    <xf numFmtId="0" fontId="0" fillId="0" borderId="11" xfId="0" quotePrefix="1" applyBorder="1" applyAlignment="1">
      <alignment horizontal="justify" vertical="top" wrapText="1"/>
    </xf>
    <xf numFmtId="0" fontId="28" fillId="0" borderId="11" xfId="0" applyFont="1" applyBorder="1" applyAlignment="1">
      <alignment horizontal="left" vertical="top"/>
    </xf>
    <xf numFmtId="0" fontId="27" fillId="0" borderId="11" xfId="0" applyFont="1" applyBorder="1" applyAlignment="1">
      <alignment horizontal="left"/>
    </xf>
    <xf numFmtId="0" fontId="28" fillId="0" borderId="11" xfId="0" applyFont="1" applyBorder="1"/>
    <xf numFmtId="0" fontId="27" fillId="0" borderId="11" xfId="0" applyFont="1" applyBorder="1" applyAlignment="1">
      <alignment horizontal="center" vertical="top" wrapText="1"/>
    </xf>
    <xf numFmtId="0" fontId="28" fillId="0" borderId="11" xfId="0" applyFont="1" applyBorder="1" applyAlignment="1">
      <alignment vertical="top"/>
    </xf>
    <xf numFmtId="0" fontId="28" fillId="0" borderId="2" xfId="2" applyFont="1" applyBorder="1" applyAlignment="1">
      <alignment horizontal="left" vertical="center"/>
    </xf>
    <xf numFmtId="0" fontId="28" fillId="0" borderId="3" xfId="2" applyFont="1" applyBorder="1" applyAlignment="1">
      <alignment horizontal="center" vertical="center"/>
    </xf>
    <xf numFmtId="0" fontId="26" fillId="0" borderId="4" xfId="3" applyFont="1" applyBorder="1" applyAlignment="1">
      <alignment horizontal="left" wrapText="1"/>
    </xf>
    <xf numFmtId="0" fontId="26" fillId="0" borderId="1" xfId="3" applyFont="1" applyBorder="1" applyAlignment="1">
      <alignment horizontal="left"/>
    </xf>
    <xf numFmtId="0" fontId="26" fillId="0" borderId="8" xfId="3" applyFont="1" applyBorder="1" applyAlignment="1">
      <alignment wrapText="1"/>
    </xf>
    <xf numFmtId="0" fontId="26" fillId="0" borderId="10" xfId="3" applyFont="1" applyBorder="1"/>
    <xf numFmtId="164" fontId="29" fillId="0" borderId="11" xfId="3" applyNumberFormat="1" applyFont="1" applyBorder="1" applyAlignment="1">
      <alignment wrapText="1"/>
    </xf>
    <xf numFmtId="0" fontId="25" fillId="0" borderId="10" xfId="3" applyFont="1" applyBorder="1" applyAlignment="1">
      <alignment wrapText="1"/>
    </xf>
    <xf numFmtId="164" fontId="29" fillId="0" borderId="9" xfId="3" applyNumberFormat="1" applyFont="1" applyBorder="1" applyAlignment="1">
      <alignment wrapText="1"/>
    </xf>
    <xf numFmtId="0" fontId="25" fillId="0" borderId="8" xfId="3" applyFont="1" applyBorder="1" applyAlignment="1">
      <alignment wrapText="1"/>
    </xf>
    <xf numFmtId="0" fontId="25" fillId="0" borderId="12" xfId="3" applyFont="1" applyBorder="1" applyAlignment="1">
      <alignment horizontal="left" wrapText="1"/>
    </xf>
    <xf numFmtId="0" fontId="27" fillId="0" borderId="11" xfId="2" applyFont="1" applyBorder="1" applyAlignment="1">
      <alignment wrapText="1"/>
    </xf>
    <xf numFmtId="0" fontId="25" fillId="0" borderId="12" xfId="3" applyFont="1" applyBorder="1" applyAlignment="1">
      <alignment wrapText="1"/>
    </xf>
    <xf numFmtId="0" fontId="25" fillId="0" borderId="11" xfId="3" applyFont="1" applyBorder="1" applyAlignment="1">
      <alignment wrapText="1"/>
    </xf>
    <xf numFmtId="0" fontId="25" fillId="0" borderId="11" xfId="3" applyFont="1" applyBorder="1" applyAlignment="1">
      <alignment horizontal="left" wrapText="1"/>
    </xf>
    <xf numFmtId="0" fontId="25" fillId="0" borderId="11" xfId="3" applyFont="1" applyBorder="1" applyAlignment="1">
      <alignment vertical="top" wrapText="1"/>
    </xf>
    <xf numFmtId="0" fontId="25" fillId="0" borderId="0" xfId="0" applyFont="1"/>
    <xf numFmtId="0" fontId="27" fillId="0" borderId="0" xfId="0" applyFont="1" applyAlignment="1">
      <alignment vertical="top"/>
    </xf>
    <xf numFmtId="164" fontId="2" fillId="0" borderId="0" xfId="3" applyNumberFormat="1"/>
    <xf numFmtId="164" fontId="6" fillId="0" borderId="0" xfId="3" applyNumberFormat="1" applyFont="1" applyAlignment="1">
      <alignment wrapText="1"/>
    </xf>
    <xf numFmtId="164" fontId="3" fillId="0" borderId="0" xfId="3" applyNumberFormat="1" applyFont="1"/>
    <xf numFmtId="164" fontId="2" fillId="5" borderId="0" xfId="3" applyNumberFormat="1" applyFill="1"/>
    <xf numFmtId="164" fontId="3" fillId="0" borderId="0" xfId="3" applyNumberFormat="1" applyFont="1" applyAlignment="1">
      <alignment wrapText="1"/>
    </xf>
    <xf numFmtId="164" fontId="28" fillId="0" borderId="0" xfId="3" applyNumberFormat="1" applyFont="1"/>
    <xf numFmtId="164" fontId="27" fillId="0" borderId="0" xfId="3" applyNumberFormat="1" applyFont="1" applyAlignment="1">
      <alignment horizontal="center"/>
    </xf>
    <xf numFmtId="164" fontId="27" fillId="0" borderId="0" xfId="3" applyNumberFormat="1" applyFont="1" applyAlignment="1">
      <alignment horizontal="center" wrapText="1"/>
    </xf>
    <xf numFmtId="49" fontId="27" fillId="0" borderId="0" xfId="3" applyNumberFormat="1" applyFont="1"/>
    <xf numFmtId="164" fontId="27" fillId="0" borderId="0" xfId="3" applyNumberFormat="1" applyFont="1"/>
    <xf numFmtId="164" fontId="2" fillId="0" borderId="0" xfId="3" applyNumberFormat="1" applyAlignment="1">
      <alignment horizontal="center"/>
    </xf>
    <xf numFmtId="164" fontId="2" fillId="0" borderId="0" xfId="3" applyNumberFormat="1" applyAlignment="1">
      <alignment horizontal="center" wrapText="1"/>
    </xf>
    <xf numFmtId="1" fontId="27" fillId="0" borderId="0" xfId="0" applyNumberFormat="1" applyFont="1" applyAlignment="1">
      <alignment horizontal="center" wrapText="1"/>
    </xf>
    <xf numFmtId="1" fontId="28" fillId="0" borderId="0" xfId="0" applyNumberFormat="1" applyFont="1" applyAlignment="1">
      <alignment horizontal="center" wrapText="1"/>
    </xf>
    <xf numFmtId="0" fontId="25" fillId="2" borderId="0" xfId="0" applyFont="1" applyFill="1"/>
    <xf numFmtId="0" fontId="0" fillId="2" borderId="0" xfId="0" applyFill="1"/>
    <xf numFmtId="2" fontId="26" fillId="2" borderId="0" xfId="0" applyNumberFormat="1" applyFont="1" applyFill="1"/>
    <xf numFmtId="0" fontId="30" fillId="0" borderId="11" xfId="0" applyFont="1" applyBorder="1" applyAlignment="1">
      <alignment wrapText="1"/>
    </xf>
    <xf numFmtId="0" fontId="31" fillId="0" borderId="11" xfId="0" applyFont="1" applyBorder="1"/>
    <xf numFmtId="0" fontId="30" fillId="0" borderId="11" xfId="0" applyFont="1" applyBorder="1"/>
    <xf numFmtId="0" fontId="30" fillId="0" borderId="11" xfId="0" applyFont="1" applyBorder="1" applyAlignment="1">
      <alignment horizontal="center"/>
    </xf>
    <xf numFmtId="0" fontId="33" fillId="0" borderId="11" xfId="0" applyFont="1" applyBorder="1" applyAlignment="1">
      <alignment horizontal="left"/>
    </xf>
    <xf numFmtId="0" fontId="34" fillId="0" borderId="11" xfId="0" applyFont="1" applyBorder="1"/>
    <xf numFmtId="0" fontId="35" fillId="0" borderId="11" xfId="0" applyFont="1" applyBorder="1"/>
    <xf numFmtId="0" fontId="30" fillId="6" borderId="11" xfId="0" applyFont="1" applyFill="1" applyBorder="1" applyAlignment="1">
      <alignment horizontal="left" wrapText="1"/>
    </xf>
    <xf numFmtId="0" fontId="30" fillId="6" borderId="14" xfId="0" applyFont="1" applyFill="1" applyBorder="1" applyAlignment="1">
      <alignment horizontal="left" wrapText="1"/>
    </xf>
    <xf numFmtId="0" fontId="30" fillId="6" borderId="11" xfId="0" applyFont="1" applyFill="1" applyBorder="1" applyAlignment="1">
      <alignment horizontal="center" wrapText="1"/>
    </xf>
    <xf numFmtId="0" fontId="31" fillId="6" borderId="11" xfId="0" applyFont="1" applyFill="1" applyBorder="1"/>
    <xf numFmtId="0" fontId="34" fillId="0" borderId="11" xfId="0" applyFont="1" applyBorder="1" applyAlignment="1">
      <alignment horizontal="center" wrapText="1"/>
    </xf>
    <xf numFmtId="0" fontId="34" fillId="0" borderId="14" xfId="0" applyFont="1" applyBorder="1" applyAlignment="1">
      <alignment horizontal="center" wrapText="1"/>
    </xf>
    <xf numFmtId="0" fontId="35" fillId="0" borderId="11" xfId="0" applyFont="1" applyBorder="1" applyAlignment="1">
      <alignment horizontal="center" wrapText="1"/>
    </xf>
    <xf numFmtId="166" fontId="35" fillId="0" borderId="11" xfId="1" applyNumberFormat="1" applyFont="1" applyFill="1" applyBorder="1" applyAlignment="1">
      <alignment wrapText="1"/>
    </xf>
    <xf numFmtId="0" fontId="35" fillId="0" borderId="11" xfId="0" applyFont="1" applyBorder="1" applyAlignment="1">
      <alignment wrapText="1"/>
    </xf>
    <xf numFmtId="0" fontId="30" fillId="6" borderId="15" xfId="0" applyFont="1" applyFill="1" applyBorder="1" applyAlignment="1">
      <alignment horizontal="left" wrapText="1"/>
    </xf>
    <xf numFmtId="49" fontId="30" fillId="6" borderId="10" xfId="0" applyNumberFormat="1" applyFont="1" applyFill="1" applyBorder="1" applyAlignment="1">
      <alignment horizontal="left"/>
    </xf>
    <xf numFmtId="0" fontId="30" fillId="6" borderId="11" xfId="0" applyFont="1" applyFill="1" applyBorder="1"/>
    <xf numFmtId="0" fontId="30" fillId="6" borderId="7" xfId="0" applyFont="1" applyFill="1" applyBorder="1" applyAlignment="1">
      <alignment horizontal="left" wrapText="1"/>
    </xf>
    <xf numFmtId="49" fontId="30" fillId="6" borderId="6" xfId="0" applyNumberFormat="1" applyFont="1" applyFill="1" applyBorder="1" applyAlignment="1">
      <alignment horizontal="left" wrapText="1"/>
    </xf>
    <xf numFmtId="0" fontId="30" fillId="4" borderId="11" xfId="0" applyFont="1" applyFill="1" applyBorder="1" applyAlignment="1">
      <alignment horizontal="left" wrapText="1"/>
    </xf>
    <xf numFmtId="0" fontId="31" fillId="0" borderId="11" xfId="0" applyFont="1" applyBorder="1" applyAlignment="1">
      <alignment horizontal="center"/>
    </xf>
    <xf numFmtId="0" fontId="34" fillId="0" borderId="11" xfId="0" applyFont="1" applyBorder="1" applyAlignment="1">
      <alignment horizontal="center"/>
    </xf>
    <xf numFmtId="0" fontId="34" fillId="2" borderId="11" xfId="0" applyFont="1" applyFill="1" applyBorder="1"/>
    <xf numFmtId="0" fontId="34" fillId="0" borderId="11" xfId="0" applyFont="1" applyBorder="1" applyAlignment="1">
      <alignment horizontal="left" wrapText="1"/>
    </xf>
    <xf numFmtId="0" fontId="31" fillId="0" borderId="11" xfId="0" applyFont="1" applyBorder="1" applyAlignment="1">
      <alignment horizontal="right"/>
    </xf>
    <xf numFmtId="0" fontId="34" fillId="0" borderId="11" xfId="0" applyFont="1" applyBorder="1" applyAlignment="1">
      <alignment horizontal="right"/>
    </xf>
    <xf numFmtId="2" fontId="34" fillId="0" borderId="11" xfId="1" applyNumberFormat="1" applyFont="1" applyFill="1" applyBorder="1" applyAlignment="1">
      <alignment horizontal="right"/>
    </xf>
    <xf numFmtId="2" fontId="31" fillId="0" borderId="11" xfId="1" applyNumberFormat="1" applyFont="1" applyFill="1" applyBorder="1" applyAlignment="1">
      <alignment horizontal="right"/>
    </xf>
    <xf numFmtId="2" fontId="34" fillId="0" borderId="11" xfId="0" applyNumberFormat="1" applyFont="1" applyBorder="1"/>
    <xf numFmtId="49" fontId="30" fillId="0" borderId="11" xfId="0" applyNumberFormat="1" applyFont="1" applyBorder="1" applyAlignment="1">
      <alignment horizontal="left" wrapText="1"/>
    </xf>
    <xf numFmtId="2" fontId="30" fillId="0" borderId="11" xfId="1" applyNumberFormat="1" applyFont="1" applyFill="1" applyBorder="1" applyAlignment="1">
      <alignment horizontal="right"/>
    </xf>
    <xf numFmtId="0" fontId="30" fillId="7" borderId="11" xfId="0" applyFont="1" applyFill="1" applyBorder="1" applyAlignment="1">
      <alignment horizontal="left" wrapText="1"/>
    </xf>
    <xf numFmtId="0" fontId="31" fillId="7" borderId="11" xfId="0" applyFont="1" applyFill="1" applyBorder="1" applyAlignment="1">
      <alignment horizontal="right"/>
    </xf>
    <xf numFmtId="0" fontId="34" fillId="7" borderId="11" xfId="0" applyFont="1" applyFill="1" applyBorder="1" applyAlignment="1">
      <alignment horizontal="right"/>
    </xf>
    <xf numFmtId="2" fontId="30" fillId="7" borderId="11" xfId="1" applyNumberFormat="1" applyFont="1" applyFill="1" applyBorder="1" applyAlignment="1">
      <alignment horizontal="right"/>
    </xf>
    <xf numFmtId="2" fontId="34" fillId="2" borderId="11" xfId="0" applyNumberFormat="1" applyFont="1" applyFill="1" applyBorder="1"/>
    <xf numFmtId="2" fontId="31" fillId="0" borderId="11" xfId="0" applyNumberFormat="1" applyFont="1" applyBorder="1" applyAlignment="1">
      <alignment horizontal="right"/>
    </xf>
    <xf numFmtId="0" fontId="30" fillId="0" borderId="11" xfId="0" applyFont="1" applyBorder="1" applyAlignment="1">
      <alignment horizontal="left" wrapText="1"/>
    </xf>
    <xf numFmtId="0" fontId="34" fillId="7" borderId="11" xfId="0" applyFont="1" applyFill="1" applyBorder="1" applyAlignment="1">
      <alignment horizontal="center"/>
    </xf>
    <xf numFmtId="0" fontId="30" fillId="6" borderId="11" xfId="0" applyFont="1" applyFill="1" applyBorder="1" applyAlignment="1">
      <alignment horizontal="right"/>
    </xf>
    <xf numFmtId="0" fontId="30" fillId="6" borderId="11" xfId="0" applyFont="1" applyFill="1" applyBorder="1" applyAlignment="1">
      <alignment horizontal="center"/>
    </xf>
    <xf numFmtId="43" fontId="30" fillId="6" borderId="11" xfId="1" applyFont="1" applyFill="1" applyBorder="1" applyAlignment="1">
      <alignment horizontal="right"/>
    </xf>
    <xf numFmtId="1" fontId="30" fillId="6" borderId="11" xfId="1" applyNumberFormat="1" applyFont="1" applyFill="1" applyBorder="1" applyAlignment="1">
      <alignment horizontal="right"/>
    </xf>
    <xf numFmtId="0" fontId="34" fillId="6" borderId="11" xfId="0" applyFont="1" applyFill="1" applyBorder="1" applyAlignment="1">
      <alignment horizontal="center"/>
    </xf>
    <xf numFmtId="0" fontId="34" fillId="6" borderId="11" xfId="0" applyFont="1" applyFill="1" applyBorder="1"/>
    <xf numFmtId="2" fontId="34" fillId="4" borderId="11" xfId="0" applyNumberFormat="1" applyFont="1" applyFill="1" applyBorder="1"/>
    <xf numFmtId="2" fontId="34" fillId="6" borderId="11" xfId="0" applyNumberFormat="1" applyFont="1" applyFill="1" applyBorder="1"/>
    <xf numFmtId="2" fontId="34" fillId="4" borderId="11" xfId="0" applyNumberFormat="1" applyFont="1" applyFill="1" applyBorder="1" applyAlignment="1">
      <alignment horizontal="right"/>
    </xf>
    <xf numFmtId="0" fontId="33" fillId="0" borderId="11" xfId="0" applyFont="1" applyBorder="1"/>
    <xf numFmtId="0" fontId="31" fillId="0" borderId="11" xfId="0" applyFont="1" applyBorder="1" applyAlignment="1">
      <alignment wrapText="1"/>
    </xf>
    <xf numFmtId="0" fontId="33" fillId="0" borderId="11" xfId="0" applyFont="1" applyBorder="1" applyAlignment="1">
      <alignment wrapText="1"/>
    </xf>
    <xf numFmtId="49" fontId="33" fillId="0" borderId="11" xfId="0" applyNumberFormat="1" applyFont="1" applyBorder="1" applyAlignment="1">
      <alignment horizontal="left"/>
    </xf>
    <xf numFmtId="49" fontId="31" fillId="0" borderId="11" xfId="0" applyNumberFormat="1" applyFont="1" applyBorder="1" applyAlignment="1">
      <alignment horizontal="left" wrapText="1"/>
    </xf>
    <xf numFmtId="0" fontId="33" fillId="7" borderId="11" xfId="0" applyFont="1" applyFill="1" applyBorder="1"/>
    <xf numFmtId="0" fontId="33" fillId="6" borderId="11" xfId="0" applyFont="1" applyFill="1" applyBorder="1"/>
    <xf numFmtId="0" fontId="33" fillId="6" borderId="11" xfId="0" applyFont="1" applyFill="1" applyBorder="1" applyAlignment="1">
      <alignment wrapText="1"/>
    </xf>
    <xf numFmtId="0" fontId="33" fillId="7" borderId="11" xfId="0" applyFont="1" applyFill="1" applyBorder="1" applyAlignment="1">
      <alignment wrapText="1"/>
    </xf>
    <xf numFmtId="2" fontId="31" fillId="0" borderId="11" xfId="0" applyNumberFormat="1" applyFont="1" applyBorder="1"/>
    <xf numFmtId="0" fontId="31" fillId="2" borderId="11" xfId="0" applyFont="1" applyFill="1" applyBorder="1"/>
    <xf numFmtId="2" fontId="33" fillId="6" borderId="11" xfId="0" applyNumberFormat="1" applyFont="1" applyFill="1" applyBorder="1"/>
    <xf numFmtId="0" fontId="31" fillId="2" borderId="11" xfId="0" applyFont="1" applyFill="1" applyBorder="1" applyAlignment="1">
      <alignment horizontal="left"/>
    </xf>
    <xf numFmtId="0" fontId="33" fillId="6" borderId="14" xfId="0" applyFont="1" applyFill="1" applyBorder="1" applyAlignment="1">
      <alignment wrapText="1"/>
    </xf>
    <xf numFmtId="0" fontId="33" fillId="6" borderId="0" xfId="0" applyFont="1" applyFill="1" applyAlignment="1">
      <alignment wrapText="1"/>
    </xf>
    <xf numFmtId="0" fontId="36" fillId="6" borderId="0" xfId="0" applyFont="1" applyFill="1"/>
    <xf numFmtId="0" fontId="33" fillId="6" borderId="17" xfId="0" applyFont="1" applyFill="1" applyBorder="1" applyAlignment="1">
      <alignment horizontal="left" wrapText="1"/>
    </xf>
    <xf numFmtId="0" fontId="33" fillId="6" borderId="11" xfId="0" applyFont="1" applyFill="1" applyBorder="1" applyAlignment="1">
      <alignment horizontal="left"/>
    </xf>
    <xf numFmtId="0" fontId="33" fillId="6" borderId="18" xfId="0" applyFont="1" applyFill="1" applyBorder="1" applyAlignment="1">
      <alignment horizontal="left" wrapText="1"/>
    </xf>
    <xf numFmtId="0" fontId="33" fillId="6" borderId="17" xfId="0" applyFont="1" applyFill="1" applyBorder="1" applyAlignment="1">
      <alignment horizontal="left"/>
    </xf>
    <xf numFmtId="2" fontId="31" fillId="0" borderId="11" xfId="0" applyNumberFormat="1" applyFont="1" applyBorder="1" applyAlignment="1">
      <alignment wrapText="1"/>
    </xf>
    <xf numFmtId="2" fontId="31" fillId="2" borderId="11" xfId="0" applyNumberFormat="1" applyFont="1" applyFill="1" applyBorder="1" applyAlignment="1">
      <alignment wrapText="1"/>
    </xf>
    <xf numFmtId="2" fontId="31" fillId="2" borderId="11" xfId="0" applyNumberFormat="1" applyFont="1" applyFill="1" applyBorder="1"/>
    <xf numFmtId="2" fontId="33" fillId="0" borderId="11" xfId="0" applyNumberFormat="1" applyFont="1" applyBorder="1"/>
    <xf numFmtId="0" fontId="33" fillId="2" borderId="11" xfId="0" applyFont="1" applyFill="1" applyBorder="1"/>
    <xf numFmtId="0" fontId="33" fillId="4" borderId="11" xfId="0" applyFont="1" applyFill="1" applyBorder="1"/>
    <xf numFmtId="2" fontId="33" fillId="7" borderId="11" xfId="0" applyNumberFormat="1" applyFont="1" applyFill="1" applyBorder="1"/>
    <xf numFmtId="0" fontId="31" fillId="7" borderId="11" xfId="0" applyFont="1" applyFill="1" applyBorder="1"/>
    <xf numFmtId="0" fontId="31" fillId="6" borderId="11" xfId="0" applyFont="1" applyFill="1" applyBorder="1" applyAlignment="1">
      <alignment horizontal="left"/>
    </xf>
    <xf numFmtId="1" fontId="31" fillId="0" borderId="11" xfId="0" applyNumberFormat="1" applyFont="1" applyBorder="1"/>
    <xf numFmtId="0" fontId="33" fillId="6" borderId="11" xfId="0" applyFont="1" applyFill="1" applyBorder="1" applyAlignment="1">
      <alignment horizontal="right"/>
    </xf>
    <xf numFmtId="2" fontId="33" fillId="6" borderId="11" xfId="0" applyNumberFormat="1" applyFont="1" applyFill="1" applyBorder="1" applyAlignment="1">
      <alignment horizontal="right"/>
    </xf>
    <xf numFmtId="2" fontId="33" fillId="6" borderId="11" xfId="0" applyNumberFormat="1" applyFont="1" applyFill="1" applyBorder="1" applyAlignment="1">
      <alignment horizontal="left"/>
    </xf>
    <xf numFmtId="0" fontId="30" fillId="6" borderId="11" xfId="0" applyFont="1" applyFill="1" applyBorder="1" applyAlignment="1">
      <alignment horizontal="right" wrapText="1"/>
    </xf>
    <xf numFmtId="1" fontId="34" fillId="6" borderId="11" xfId="1" applyNumberFormat="1" applyFont="1" applyFill="1" applyBorder="1" applyAlignment="1">
      <alignment horizontal="center"/>
    </xf>
    <xf numFmtId="1" fontId="34" fillId="6" borderId="11" xfId="1" applyNumberFormat="1" applyFont="1" applyFill="1" applyBorder="1" applyAlignment="1">
      <alignment horizontal="center" wrapText="1"/>
    </xf>
    <xf numFmtId="1" fontId="34" fillId="6" borderId="11" xfId="0" applyNumberFormat="1" applyFont="1" applyFill="1" applyBorder="1" applyAlignment="1">
      <alignment horizontal="center" wrapText="1"/>
    </xf>
    <xf numFmtId="9" fontId="34" fillId="6" borderId="11" xfId="0" applyNumberFormat="1" applyFont="1" applyFill="1" applyBorder="1" applyAlignment="1">
      <alignment horizontal="center" wrapText="1"/>
    </xf>
    <xf numFmtId="0" fontId="37" fillId="0" borderId="11" xfId="0" applyFont="1" applyBorder="1" applyAlignment="1">
      <alignment horizontal="left" wrapText="1"/>
    </xf>
    <xf numFmtId="166" fontId="34" fillId="0" borderId="11" xfId="1" applyNumberFormat="1" applyFont="1" applyFill="1" applyBorder="1" applyAlignment="1">
      <alignment horizontal="left" wrapText="1"/>
    </xf>
    <xf numFmtId="166" fontId="34" fillId="0" borderId="11" xfId="0" applyNumberFormat="1" applyFont="1" applyBorder="1" applyAlignment="1">
      <alignment horizontal="left" wrapText="1"/>
    </xf>
    <xf numFmtId="43" fontId="34" fillId="0" borderId="11" xfId="0" applyNumberFormat="1" applyFont="1" applyBorder="1" applyAlignment="1">
      <alignment horizontal="center" wrapText="1"/>
    </xf>
    <xf numFmtId="1" fontId="34" fillId="0" borderId="11" xfId="1" applyNumberFormat="1" applyFont="1" applyFill="1" applyBorder="1" applyAlignment="1">
      <alignment horizontal="center"/>
    </xf>
    <xf numFmtId="1" fontId="34" fillId="0" borderId="11" xfId="0" applyNumberFormat="1" applyFont="1" applyBorder="1" applyAlignment="1">
      <alignment horizontal="center" wrapText="1"/>
    </xf>
    <xf numFmtId="9" fontId="34" fillId="0" borderId="11" xfId="0" applyNumberFormat="1" applyFont="1" applyBorder="1" applyAlignment="1">
      <alignment horizontal="center" wrapText="1"/>
    </xf>
    <xf numFmtId="0" fontId="34" fillId="0" borderId="11" xfId="0" applyFont="1" applyBorder="1" applyAlignment="1">
      <alignment horizontal="right" wrapText="1"/>
    </xf>
    <xf numFmtId="2" fontId="34" fillId="0" borderId="11" xfId="1" applyNumberFormat="1" applyFont="1" applyFill="1" applyBorder="1" applyAlignment="1">
      <alignment horizontal="right" wrapText="1"/>
    </xf>
    <xf numFmtId="2" fontId="34" fillId="0" borderId="11" xfId="0" applyNumberFormat="1" applyFont="1" applyBorder="1" applyAlignment="1">
      <alignment horizontal="right" wrapText="1"/>
    </xf>
    <xf numFmtId="1" fontId="34" fillId="0" borderId="11" xfId="0" applyNumberFormat="1" applyFont="1" applyBorder="1" applyAlignment="1">
      <alignment horizontal="right" wrapText="1"/>
    </xf>
    <xf numFmtId="1" fontId="34" fillId="0" borderId="11" xfId="1" applyNumberFormat="1" applyFont="1" applyFill="1" applyBorder="1" applyAlignment="1">
      <alignment horizontal="right"/>
    </xf>
    <xf numFmtId="0" fontId="30" fillId="0" borderId="11" xfId="0" applyFont="1" applyBorder="1" applyAlignment="1">
      <alignment horizontal="right" wrapText="1"/>
    </xf>
    <xf numFmtId="2" fontId="30" fillId="0" borderId="11" xfId="1" applyNumberFormat="1" applyFont="1" applyFill="1" applyBorder="1" applyAlignment="1">
      <alignment horizontal="right" wrapText="1"/>
    </xf>
    <xf numFmtId="166" fontId="30" fillId="0" borderId="11" xfId="1" applyNumberFormat="1" applyFont="1" applyFill="1" applyBorder="1" applyAlignment="1">
      <alignment horizontal="left" wrapText="1"/>
    </xf>
    <xf numFmtId="1" fontId="30" fillId="0" borderId="11" xfId="0" applyNumberFormat="1" applyFont="1" applyBorder="1" applyAlignment="1">
      <alignment horizontal="right" wrapText="1"/>
    </xf>
    <xf numFmtId="1" fontId="30" fillId="0" borderId="11" xfId="1" applyNumberFormat="1" applyFont="1" applyFill="1" applyBorder="1" applyAlignment="1">
      <alignment horizontal="center"/>
    </xf>
    <xf numFmtId="1" fontId="30" fillId="0" borderId="11" xfId="1" applyNumberFormat="1" applyFont="1" applyFill="1" applyBorder="1" applyAlignment="1">
      <alignment horizontal="right"/>
    </xf>
    <xf numFmtId="0" fontId="37" fillId="0" borderId="11" xfId="0" applyFont="1" applyBorder="1" applyAlignment="1">
      <alignment horizontal="right" wrapText="1"/>
    </xf>
    <xf numFmtId="2" fontId="34" fillId="0" borderId="11" xfId="1" applyNumberFormat="1" applyFont="1" applyFill="1" applyBorder="1" applyAlignment="1">
      <alignment horizontal="center"/>
    </xf>
    <xf numFmtId="2" fontId="34" fillId="0" borderId="11" xfId="0" applyNumberFormat="1" applyFont="1" applyBorder="1" applyAlignment="1">
      <alignment horizontal="center" wrapText="1"/>
    </xf>
    <xf numFmtId="0" fontId="30" fillId="7" borderId="11" xfId="0" applyFont="1" applyFill="1" applyBorder="1" applyAlignment="1">
      <alignment horizontal="right" wrapText="1"/>
    </xf>
    <xf numFmtId="2" fontId="30" fillId="7" borderId="11" xfId="1" applyNumberFormat="1" applyFont="1" applyFill="1" applyBorder="1" applyAlignment="1">
      <alignment horizontal="right" wrapText="1"/>
    </xf>
    <xf numFmtId="166" fontId="30" fillId="7" borderId="11" xfId="1" applyNumberFormat="1" applyFont="1" applyFill="1" applyBorder="1" applyAlignment="1">
      <alignment horizontal="left" wrapText="1"/>
    </xf>
    <xf numFmtId="0" fontId="34" fillId="7" borderId="11" xfId="0" applyFont="1" applyFill="1" applyBorder="1"/>
    <xf numFmtId="1" fontId="30" fillId="7" borderId="11" xfId="0" applyNumberFormat="1" applyFont="1" applyFill="1" applyBorder="1" applyAlignment="1">
      <alignment horizontal="right" wrapText="1"/>
    </xf>
    <xf numFmtId="1" fontId="30" fillId="7" borderId="11" xfId="1" applyNumberFormat="1" applyFont="1" applyFill="1" applyBorder="1" applyAlignment="1">
      <alignment horizontal="right"/>
    </xf>
    <xf numFmtId="9" fontId="34" fillId="7" borderId="11" xfId="0" applyNumberFormat="1" applyFont="1" applyFill="1" applyBorder="1" applyAlignment="1">
      <alignment horizontal="center" wrapText="1"/>
    </xf>
    <xf numFmtId="1" fontId="34" fillId="7" borderId="11" xfId="1" applyNumberFormat="1" applyFont="1" applyFill="1" applyBorder="1" applyAlignment="1">
      <alignment horizontal="center"/>
    </xf>
    <xf numFmtId="1" fontId="34" fillId="7" borderId="11" xfId="0" applyNumberFormat="1" applyFont="1" applyFill="1" applyBorder="1" applyAlignment="1">
      <alignment horizontal="center" wrapText="1"/>
    </xf>
    <xf numFmtId="2" fontId="30" fillId="0" borderId="11" xfId="0" applyNumberFormat="1" applyFont="1" applyBorder="1" applyAlignment="1">
      <alignment horizontal="right" wrapText="1"/>
    </xf>
    <xf numFmtId="0" fontId="34" fillId="6" borderId="11" xfId="0" applyFont="1" applyFill="1" applyBorder="1" applyAlignment="1">
      <alignment horizontal="left" wrapText="1"/>
    </xf>
    <xf numFmtId="1" fontId="34" fillId="6" borderId="11" xfId="0" applyNumberFormat="1" applyFont="1" applyFill="1" applyBorder="1" applyAlignment="1">
      <alignment horizontal="right" wrapText="1"/>
    </xf>
    <xf numFmtId="1" fontId="30" fillId="6" borderId="11" xfId="0" applyNumberFormat="1" applyFont="1" applyFill="1" applyBorder="1" applyAlignment="1">
      <alignment horizontal="right" wrapText="1"/>
    </xf>
    <xf numFmtId="1" fontId="34" fillId="6" borderId="11" xfId="1" applyNumberFormat="1" applyFont="1" applyFill="1" applyBorder="1" applyAlignment="1">
      <alignment horizontal="right"/>
    </xf>
    <xf numFmtId="2" fontId="34" fillId="6" borderId="11" xfId="1" applyNumberFormat="1" applyFont="1" applyFill="1" applyBorder="1" applyAlignment="1">
      <alignment horizontal="right"/>
    </xf>
    <xf numFmtId="2" fontId="34" fillId="6" borderId="11" xfId="0" applyNumberFormat="1" applyFont="1" applyFill="1" applyBorder="1" applyAlignment="1">
      <alignment horizontal="right" wrapText="1"/>
    </xf>
    <xf numFmtId="2" fontId="30" fillId="6" borderId="11" xfId="0" applyNumberFormat="1" applyFont="1" applyFill="1" applyBorder="1" applyAlignment="1">
      <alignment horizontal="left" wrapText="1"/>
    </xf>
    <xf numFmtId="0" fontId="30" fillId="7" borderId="11" xfId="0" applyFont="1" applyFill="1" applyBorder="1"/>
    <xf numFmtId="9" fontId="30" fillId="7" borderId="11" xfId="0" applyNumberFormat="1" applyFont="1" applyFill="1" applyBorder="1" applyAlignment="1">
      <alignment horizontal="center" wrapText="1"/>
    </xf>
    <xf numFmtId="1" fontId="30" fillId="7" borderId="11" xfId="1" applyNumberFormat="1" applyFont="1" applyFill="1" applyBorder="1" applyAlignment="1">
      <alignment horizontal="center"/>
    </xf>
    <xf numFmtId="1" fontId="30" fillId="7" borderId="11" xfId="0" applyNumberFormat="1" applyFont="1" applyFill="1" applyBorder="1" applyAlignment="1">
      <alignment horizontal="center" wrapText="1"/>
    </xf>
    <xf numFmtId="2" fontId="33" fillId="4" borderId="11" xfId="0" applyNumberFormat="1" applyFont="1" applyFill="1" applyBorder="1" applyAlignment="1">
      <alignment horizontal="right"/>
    </xf>
    <xf numFmtId="2" fontId="33" fillId="4" borderId="11" xfId="0" applyNumberFormat="1" applyFont="1" applyFill="1" applyBorder="1"/>
    <xf numFmtId="0" fontId="31" fillId="4" borderId="11" xfId="0" applyFont="1" applyFill="1" applyBorder="1"/>
    <xf numFmtId="0" fontId="30" fillId="0" borderId="11" xfId="0" applyFont="1" applyBorder="1" applyAlignment="1">
      <alignment vertical="top"/>
    </xf>
    <xf numFmtId="1" fontId="31" fillId="0" borderId="11" xfId="0" applyNumberFormat="1" applyFont="1" applyBorder="1" applyAlignment="1">
      <alignment vertical="top"/>
    </xf>
    <xf numFmtId="0" fontId="30" fillId="0" borderId="11" xfId="0" applyFont="1" applyBorder="1" applyAlignment="1">
      <alignment horizontal="left"/>
    </xf>
    <xf numFmtId="0" fontId="30" fillId="0" borderId="11" xfId="0" applyFont="1" applyBorder="1" applyAlignment="1">
      <alignment horizontal="right" vertical="top"/>
    </xf>
    <xf numFmtId="0" fontId="30" fillId="0" borderId="11" xfId="0" applyFont="1" applyBorder="1" applyAlignment="1">
      <alignment horizontal="left" vertical="top"/>
    </xf>
    <xf numFmtId="0" fontId="31" fillId="0" borderId="11" xfId="0" applyFont="1" applyBorder="1" applyAlignment="1">
      <alignment vertical="top"/>
    </xf>
    <xf numFmtId="1" fontId="31" fillId="0" borderId="11" xfId="0" applyNumberFormat="1" applyFont="1" applyBorder="1" applyAlignment="1">
      <alignment horizontal="left" vertical="top"/>
    </xf>
    <xf numFmtId="1" fontId="38" fillId="0" borderId="11" xfId="0" applyNumberFormat="1" applyFont="1" applyBorder="1" applyAlignment="1">
      <alignment vertical="top"/>
    </xf>
    <xf numFmtId="0" fontId="34" fillId="0" borderId="11" xfId="0" applyFont="1" applyBorder="1" applyAlignment="1">
      <alignment vertical="top"/>
    </xf>
    <xf numFmtId="1" fontId="33" fillId="0" borderId="11" xfId="0" applyNumberFormat="1" applyFont="1" applyBorder="1" applyAlignment="1">
      <alignment wrapText="1"/>
    </xf>
    <xf numFmtId="1" fontId="33" fillId="0" borderId="11" xfId="0" applyNumberFormat="1" applyFont="1" applyBorder="1" applyAlignment="1">
      <alignment vertical="top"/>
    </xf>
    <xf numFmtId="0" fontId="34" fillId="0" borderId="11" xfId="0" applyFont="1" applyBorder="1" applyAlignment="1">
      <alignment horizontal="left"/>
    </xf>
    <xf numFmtId="0" fontId="34" fillId="0" borderId="11" xfId="0" applyFont="1" applyBorder="1" applyAlignment="1">
      <alignment horizontal="left" vertical="top"/>
    </xf>
    <xf numFmtId="0" fontId="31" fillId="0" borderId="11" xfId="0" applyFont="1" applyBorder="1" applyAlignment="1">
      <alignment horizontal="left" vertical="top"/>
    </xf>
    <xf numFmtId="1" fontId="31" fillId="0" borderId="11" xfId="0" applyNumberFormat="1" applyFont="1" applyBorder="1" applyAlignment="1">
      <alignment horizontal="center" vertical="top"/>
    </xf>
    <xf numFmtId="0" fontId="34" fillId="0" borderId="11" xfId="0" applyFont="1" applyBorder="1" applyAlignment="1">
      <alignment wrapText="1"/>
    </xf>
    <xf numFmtId="1" fontId="34" fillId="0" borderId="11" xfId="0" applyNumberFormat="1" applyFont="1" applyBorder="1" applyAlignment="1">
      <alignment vertical="top"/>
    </xf>
    <xf numFmtId="164" fontId="30" fillId="6" borderId="11" xfId="0" applyNumberFormat="1" applyFont="1" applyFill="1" applyBorder="1" applyAlignment="1">
      <alignment horizontal="left" wrapText="1"/>
    </xf>
    <xf numFmtId="0" fontId="34" fillId="0" borderId="11" xfId="0" applyFont="1" applyBorder="1" applyAlignment="1">
      <alignment horizontal="left" vertical="top" wrapText="1"/>
    </xf>
    <xf numFmtId="0" fontId="34" fillId="0" borderId="11" xfId="0" applyFont="1" applyBorder="1" applyAlignment="1">
      <alignment horizontal="right" vertical="top" wrapText="1"/>
    </xf>
    <xf numFmtId="2" fontId="34" fillId="0" borderId="11" xfId="0" applyNumberFormat="1" applyFont="1" applyBorder="1" applyAlignment="1">
      <alignment horizontal="right" vertical="top" wrapText="1"/>
    </xf>
    <xf numFmtId="2" fontId="34" fillId="0" borderId="11" xfId="0" applyNumberFormat="1" applyFont="1" applyBorder="1" applyAlignment="1">
      <alignment vertical="top" wrapText="1"/>
    </xf>
    <xf numFmtId="49" fontId="34" fillId="0" borderId="11" xfId="0" applyNumberFormat="1" applyFont="1" applyBorder="1" applyAlignment="1">
      <alignment horizontal="left"/>
    </xf>
    <xf numFmtId="2" fontId="34" fillId="0" borderId="11" xfId="1" applyNumberFormat="1" applyFont="1" applyFill="1" applyBorder="1" applyAlignment="1">
      <alignment wrapText="1"/>
    </xf>
    <xf numFmtId="2" fontId="34" fillId="0" borderId="11" xfId="1" applyNumberFormat="1" applyFont="1" applyFill="1" applyBorder="1" applyAlignment="1"/>
    <xf numFmtId="49" fontId="34" fillId="0" borderId="11" xfId="0" applyNumberFormat="1" applyFont="1" applyBorder="1" applyAlignment="1">
      <alignment horizontal="left" vertical="top"/>
    </xf>
    <xf numFmtId="2" fontId="34" fillId="0" borderId="11" xfId="1" applyNumberFormat="1" applyFont="1" applyFill="1" applyBorder="1" applyAlignment="1">
      <alignment vertical="top" wrapText="1"/>
    </xf>
    <xf numFmtId="2" fontId="34" fillId="0" borderId="11" xfId="1" applyNumberFormat="1" applyFont="1" applyFill="1" applyBorder="1" applyAlignment="1">
      <alignment vertical="top"/>
    </xf>
    <xf numFmtId="49" fontId="34" fillId="0" borderId="11" xfId="0" applyNumberFormat="1" applyFont="1" applyBorder="1" applyAlignment="1">
      <alignment horizontal="left" vertical="top" wrapText="1"/>
    </xf>
    <xf numFmtId="0" fontId="34" fillId="0" borderId="11" xfId="1" applyNumberFormat="1" applyFont="1" applyFill="1" applyBorder="1" applyAlignment="1">
      <alignment wrapText="1"/>
    </xf>
    <xf numFmtId="0" fontId="34" fillId="0" borderId="11" xfId="1" applyNumberFormat="1" applyFont="1" applyFill="1" applyBorder="1" applyAlignment="1">
      <alignment horizontal="right" wrapText="1"/>
    </xf>
    <xf numFmtId="2" fontId="34" fillId="0" borderId="11" xfId="1" applyNumberFormat="1" applyFont="1" applyFill="1" applyBorder="1" applyAlignment="1">
      <alignment horizontal="right" vertical="top" wrapText="1"/>
    </xf>
    <xf numFmtId="2" fontId="34" fillId="0" borderId="11" xfId="1" applyNumberFormat="1" applyFont="1" applyFill="1" applyBorder="1" applyAlignment="1">
      <alignment horizontal="right" vertical="top"/>
    </xf>
    <xf numFmtId="49" fontId="34" fillId="0" borderId="11" xfId="0" applyNumberFormat="1" applyFont="1" applyBorder="1" applyAlignment="1">
      <alignment horizontal="left" wrapText="1"/>
    </xf>
    <xf numFmtId="49" fontId="34" fillId="0" borderId="11" xfId="0" applyNumberFormat="1" applyFont="1" applyBorder="1" applyAlignment="1">
      <alignment horizontal="right" wrapText="1"/>
    </xf>
    <xf numFmtId="0" fontId="30" fillId="6" borderId="11" xfId="0" applyFont="1" applyFill="1" applyBorder="1" applyAlignment="1">
      <alignment vertical="top"/>
    </xf>
    <xf numFmtId="0" fontId="34" fillId="6" borderId="11" xfId="0" applyFont="1" applyFill="1" applyBorder="1" applyAlignment="1">
      <alignment vertical="top"/>
    </xf>
    <xf numFmtId="1" fontId="34" fillId="6" borderId="11" xfId="0" applyNumberFormat="1" applyFont="1" applyFill="1" applyBorder="1" applyAlignment="1">
      <alignment vertical="top"/>
    </xf>
    <xf numFmtId="1" fontId="30" fillId="0" borderId="11" xfId="0" applyNumberFormat="1" applyFont="1" applyBorder="1" applyAlignment="1">
      <alignment vertical="top"/>
    </xf>
    <xf numFmtId="2" fontId="34" fillId="0" borderId="11" xfId="0" applyNumberFormat="1" applyFont="1" applyBorder="1" applyAlignment="1">
      <alignment vertical="top"/>
    </xf>
    <xf numFmtId="0" fontId="30" fillId="4" borderId="11" xfId="0" applyFont="1" applyFill="1" applyBorder="1" applyAlignment="1">
      <alignment vertical="top" wrapText="1"/>
    </xf>
    <xf numFmtId="0" fontId="30" fillId="4" borderId="11" xfId="0" applyFont="1" applyFill="1" applyBorder="1" applyAlignment="1">
      <alignment vertical="top"/>
    </xf>
    <xf numFmtId="0" fontId="34" fillId="4" borderId="11" xfId="0" applyFont="1" applyFill="1" applyBorder="1" applyAlignment="1">
      <alignment vertical="top"/>
    </xf>
    <xf numFmtId="1" fontId="34" fillId="4" borderId="11" xfId="0" applyNumberFormat="1" applyFont="1" applyFill="1" applyBorder="1" applyAlignment="1">
      <alignment vertical="top"/>
    </xf>
    <xf numFmtId="0" fontId="34" fillId="0" borderId="11" xfId="0" applyFont="1" applyBorder="1" applyAlignment="1">
      <alignment vertical="top" wrapText="1"/>
    </xf>
    <xf numFmtId="0" fontId="30" fillId="0" borderId="11" xfId="0" applyFont="1" applyBorder="1" applyAlignment="1">
      <alignment horizontal="right"/>
    </xf>
    <xf numFmtId="0" fontId="36" fillId="0" borderId="11" xfId="0" applyFont="1" applyBorder="1"/>
    <xf numFmtId="0" fontId="31" fillId="0" borderId="11" xfId="0" applyFont="1" applyBorder="1" applyAlignment="1">
      <alignment horizontal="left"/>
    </xf>
    <xf numFmtId="0" fontId="35" fillId="0" borderId="11" xfId="0" applyFont="1" applyBorder="1" applyAlignment="1">
      <alignment horizontal="left" vertical="top"/>
    </xf>
    <xf numFmtId="0" fontId="36" fillId="6" borderId="11" xfId="0" applyFont="1" applyFill="1" applyBorder="1" applyAlignment="1">
      <alignment vertical="top"/>
    </xf>
    <xf numFmtId="0" fontId="31" fillId="0" borderId="11" xfId="0" applyFont="1" applyBorder="1" applyAlignment="1">
      <alignment horizontal="left" vertical="center" wrapText="1"/>
    </xf>
    <xf numFmtId="166" fontId="31" fillId="0" borderId="11" xfId="4" applyNumberFormat="1" applyFont="1" applyFill="1" applyBorder="1" applyAlignment="1">
      <alignment vertical="center"/>
    </xf>
    <xf numFmtId="2" fontId="31" fillId="0" borderId="11" xfId="0" applyNumberFormat="1" applyFont="1" applyBorder="1" applyAlignment="1">
      <alignment horizontal="right" vertical="center"/>
    </xf>
    <xf numFmtId="0" fontId="31" fillId="0" borderId="11" xfId="0" applyFont="1" applyBorder="1" applyAlignment="1">
      <alignment horizontal="right" vertical="center"/>
    </xf>
    <xf numFmtId="0" fontId="34" fillId="0" borderId="11" xfId="0" applyFont="1" applyBorder="1" applyAlignment="1">
      <alignment horizontal="center" vertical="center"/>
    </xf>
    <xf numFmtId="0" fontId="36" fillId="0" borderId="11" xfId="0" applyFont="1" applyBorder="1" applyAlignment="1">
      <alignment horizontal="center" vertical="center"/>
    </xf>
    <xf numFmtId="2" fontId="34" fillId="0" borderId="11" xfId="4" applyNumberFormat="1" applyFont="1" applyFill="1" applyBorder="1" applyAlignment="1">
      <alignment horizontal="right"/>
    </xf>
    <xf numFmtId="164" fontId="34" fillId="0" borderId="11" xfId="4" applyNumberFormat="1" applyFont="1" applyFill="1" applyBorder="1" applyAlignment="1">
      <alignment horizontal="left" wrapText="1"/>
    </xf>
    <xf numFmtId="2" fontId="34" fillId="0" borderId="11" xfId="0" applyNumberFormat="1" applyFont="1" applyBorder="1" applyAlignment="1">
      <alignment horizontal="right"/>
    </xf>
    <xf numFmtId="0" fontId="31" fillId="0" borderId="11" xfId="0" applyFont="1" applyBorder="1" applyAlignment="1">
      <alignment vertical="center"/>
    </xf>
    <xf numFmtId="166" fontId="31" fillId="0" borderId="11" xfId="4" applyNumberFormat="1" applyFont="1" applyFill="1" applyBorder="1" applyAlignment="1">
      <alignment horizontal="right" vertical="center"/>
    </xf>
    <xf numFmtId="2" fontId="34" fillId="0" borderId="11" xfId="0" applyNumberFormat="1" applyFont="1" applyBorder="1" applyAlignment="1">
      <alignment horizontal="right" vertical="center"/>
    </xf>
    <xf numFmtId="164" fontId="31" fillId="0" borderId="11" xfId="4" applyNumberFormat="1" applyFont="1" applyFill="1" applyBorder="1" applyAlignment="1">
      <alignment horizontal="left" wrapText="1"/>
    </xf>
    <xf numFmtId="0" fontId="31" fillId="0" borderId="11" xfId="0" applyFont="1" applyBorder="1" applyAlignment="1">
      <alignment horizontal="right" vertical="top" wrapText="1"/>
    </xf>
    <xf numFmtId="164" fontId="30" fillId="0" borderId="11" xfId="4" applyNumberFormat="1" applyFont="1" applyFill="1" applyBorder="1" applyAlignment="1">
      <alignment horizontal="left"/>
    </xf>
    <xf numFmtId="0" fontId="31" fillId="0" borderId="11" xfId="0" applyFont="1" applyBorder="1" applyAlignment="1">
      <alignment horizontal="left" wrapText="1"/>
    </xf>
    <xf numFmtId="0" fontId="30" fillId="6" borderId="11" xfId="0" applyFont="1" applyFill="1" applyBorder="1" applyAlignment="1">
      <alignment wrapText="1"/>
    </xf>
    <xf numFmtId="164" fontId="34" fillId="6" borderId="11" xfId="4" applyNumberFormat="1" applyFont="1" applyFill="1" applyBorder="1" applyAlignment="1"/>
    <xf numFmtId="164" fontId="30" fillId="6" borderId="11" xfId="0" applyNumberFormat="1" applyFont="1" applyFill="1" applyBorder="1" applyAlignment="1">
      <alignment wrapText="1"/>
    </xf>
    <xf numFmtId="0" fontId="30" fillId="0" borderId="11" xfId="0" applyFont="1" applyBorder="1" applyAlignment="1">
      <alignment horizontal="center" vertical="center"/>
    </xf>
    <xf numFmtId="164" fontId="34" fillId="0" borderId="11" xfId="0" applyNumberFormat="1" applyFont="1" applyBorder="1" applyAlignment="1">
      <alignment vertical="top" wrapText="1"/>
    </xf>
    <xf numFmtId="2" fontId="30" fillId="0" borderId="11" xfId="0" applyNumberFormat="1" applyFont="1" applyBorder="1" applyAlignment="1">
      <alignment vertical="top" wrapText="1"/>
    </xf>
    <xf numFmtId="0" fontId="34" fillId="0" borderId="0" xfId="0" applyFont="1"/>
    <xf numFmtId="0" fontId="34" fillId="6" borderId="0" xfId="0" applyFont="1" applyFill="1"/>
    <xf numFmtId="0" fontId="30" fillId="4" borderId="11" xfId="0" applyFont="1" applyFill="1" applyBorder="1"/>
    <xf numFmtId="0" fontId="30" fillId="4" borderId="11" xfId="0" applyFont="1" applyFill="1" applyBorder="1" applyAlignment="1">
      <alignment wrapText="1"/>
    </xf>
    <xf numFmtId="2" fontId="34" fillId="4" borderId="11" xfId="0" applyNumberFormat="1" applyFont="1" applyFill="1" applyBorder="1" applyAlignment="1">
      <alignment wrapText="1"/>
    </xf>
    <xf numFmtId="2" fontId="30" fillId="4" borderId="11" xfId="0" applyNumberFormat="1" applyFont="1" applyFill="1" applyBorder="1" applyAlignment="1">
      <alignment wrapText="1"/>
    </xf>
    <xf numFmtId="0" fontId="30" fillId="4" borderId="11" xfId="0" applyFont="1" applyFill="1" applyBorder="1" applyAlignment="1">
      <alignment horizontal="left" vertical="center" wrapText="1"/>
    </xf>
    <xf numFmtId="166" fontId="31" fillId="4" borderId="11" xfId="4" applyNumberFormat="1" applyFont="1" applyFill="1" applyBorder="1" applyAlignment="1">
      <alignment vertical="top"/>
    </xf>
    <xf numFmtId="166" fontId="34" fillId="4" borderId="11" xfId="4" applyNumberFormat="1" applyFont="1" applyFill="1" applyBorder="1" applyAlignment="1">
      <alignment vertical="top"/>
    </xf>
    <xf numFmtId="1" fontId="34" fillId="4" borderId="11" xfId="4" applyNumberFormat="1" applyFont="1" applyFill="1" applyBorder="1" applyAlignment="1">
      <alignment vertical="top"/>
    </xf>
    <xf numFmtId="0" fontId="31" fillId="4" borderId="11" xfId="0" applyFont="1" applyFill="1" applyBorder="1" applyAlignment="1">
      <alignment vertical="top"/>
    </xf>
    <xf numFmtId="0" fontId="36" fillId="4" borderId="11" xfId="0" applyFont="1" applyFill="1" applyBorder="1" applyAlignment="1">
      <alignment vertical="top"/>
    </xf>
    <xf numFmtId="0" fontId="30" fillId="7" borderId="11" xfId="0" applyFont="1" applyFill="1" applyBorder="1" applyAlignment="1">
      <alignment wrapText="1"/>
    </xf>
    <xf numFmtId="0" fontId="31" fillId="7" borderId="11" xfId="0" applyFont="1" applyFill="1" applyBorder="1" applyAlignment="1">
      <alignment horizontal="left" vertical="center" wrapText="1"/>
    </xf>
    <xf numFmtId="0" fontId="31" fillId="7" borderId="11" xfId="0" applyFont="1" applyFill="1" applyBorder="1" applyAlignment="1">
      <alignment vertical="center"/>
    </xf>
    <xf numFmtId="2" fontId="31" fillId="7" borderId="11" xfId="0" applyNumberFormat="1" applyFont="1" applyFill="1" applyBorder="1" applyAlignment="1">
      <alignment horizontal="right" vertical="center"/>
    </xf>
    <xf numFmtId="2" fontId="30" fillId="7" borderId="11" xfId="0" applyNumberFormat="1" applyFont="1" applyFill="1" applyBorder="1" applyAlignment="1">
      <alignment horizontal="right" vertical="center"/>
    </xf>
    <xf numFmtId="0" fontId="31" fillId="7" borderId="11" xfId="0" applyFont="1" applyFill="1" applyBorder="1" applyAlignment="1">
      <alignment horizontal="right" vertical="center"/>
    </xf>
    <xf numFmtId="0" fontId="36" fillId="7" borderId="11" xfId="0" applyFont="1" applyFill="1" applyBorder="1"/>
    <xf numFmtId="0" fontId="31" fillId="4" borderId="11" xfId="0" applyFont="1" applyFill="1" applyBorder="1" applyAlignment="1">
      <alignment horizontal="center" vertical="center" wrapText="1"/>
    </xf>
    <xf numFmtId="0" fontId="31" fillId="4" borderId="11" xfId="0" applyFont="1" applyFill="1" applyBorder="1" applyAlignment="1">
      <alignment vertical="center"/>
    </xf>
    <xf numFmtId="0" fontId="31" fillId="4" borderId="11" xfId="0" applyFont="1" applyFill="1" applyBorder="1" applyAlignment="1">
      <alignment horizontal="right" vertical="center"/>
    </xf>
    <xf numFmtId="166" fontId="31" fillId="4" borderId="11" xfId="0" applyNumberFormat="1" applyFont="1" applyFill="1" applyBorder="1" applyAlignment="1">
      <alignment horizontal="center" vertical="center"/>
    </xf>
    <xf numFmtId="1" fontId="31" fillId="4" borderId="11" xfId="0" applyNumberFormat="1" applyFont="1" applyFill="1" applyBorder="1" applyAlignment="1">
      <alignment horizontal="right" vertical="center"/>
    </xf>
    <xf numFmtId="0" fontId="34" fillId="4" borderId="11" xfId="0" applyFont="1" applyFill="1" applyBorder="1"/>
    <xf numFmtId="0" fontId="36" fillId="4" borderId="11" xfId="0" applyFont="1" applyFill="1" applyBorder="1"/>
    <xf numFmtId="0" fontId="31" fillId="7" borderId="11" xfId="0" applyFont="1" applyFill="1" applyBorder="1" applyAlignment="1">
      <alignment horizontal="center" vertical="center" wrapText="1"/>
    </xf>
    <xf numFmtId="2" fontId="31" fillId="7" borderId="11" xfId="0" applyNumberFormat="1" applyFont="1" applyFill="1" applyBorder="1" applyAlignment="1">
      <alignment horizontal="center" vertical="center"/>
    </xf>
    <xf numFmtId="164" fontId="30" fillId="7" borderId="11" xfId="4" applyNumberFormat="1" applyFont="1" applyFill="1" applyBorder="1" applyAlignment="1">
      <alignment horizontal="left" wrapText="1"/>
    </xf>
    <xf numFmtId="164" fontId="31" fillId="7" borderId="11" xfId="4" applyNumberFormat="1" applyFont="1" applyFill="1" applyBorder="1" applyAlignment="1">
      <alignment horizontal="left" wrapText="1"/>
    </xf>
    <xf numFmtId="0" fontId="31" fillId="7" borderId="11" xfId="0" applyFont="1" applyFill="1" applyBorder="1" applyAlignment="1">
      <alignment horizontal="right" vertical="top" wrapText="1"/>
    </xf>
    <xf numFmtId="2" fontId="34" fillId="7" borderId="11" xfId="0" applyNumberFormat="1" applyFont="1" applyFill="1" applyBorder="1" applyAlignment="1">
      <alignment horizontal="right" vertical="top" wrapText="1"/>
    </xf>
    <xf numFmtId="2" fontId="30" fillId="7" borderId="11" xfId="0" applyNumberFormat="1" applyFont="1" applyFill="1" applyBorder="1"/>
    <xf numFmtId="164" fontId="30" fillId="7" borderId="11" xfId="4" applyNumberFormat="1" applyFont="1" applyFill="1" applyBorder="1" applyAlignment="1">
      <alignment horizontal="left"/>
    </xf>
    <xf numFmtId="164" fontId="33" fillId="4" borderId="11" xfId="4" applyNumberFormat="1" applyFont="1" applyFill="1" applyBorder="1" applyAlignment="1">
      <alignment horizontal="left" wrapText="1"/>
    </xf>
    <xf numFmtId="0" fontId="31" fillId="4" borderId="11" xfId="0" applyFont="1" applyFill="1" applyBorder="1" applyAlignment="1">
      <alignment horizontal="right" vertical="top" wrapText="1"/>
    </xf>
    <xf numFmtId="2" fontId="34" fillId="4" borderId="11" xfId="0" applyNumberFormat="1" applyFont="1" applyFill="1" applyBorder="1" applyAlignment="1">
      <alignment horizontal="right" vertical="top" wrapText="1"/>
    </xf>
    <xf numFmtId="2" fontId="31" fillId="4" borderId="11" xfId="0" applyNumberFormat="1" applyFont="1" applyFill="1" applyBorder="1" applyAlignment="1">
      <alignment horizontal="right" vertical="center"/>
    </xf>
    <xf numFmtId="164" fontId="30" fillId="4" borderId="11" xfId="4" applyNumberFormat="1" applyFont="1" applyFill="1" applyBorder="1" applyAlignment="1">
      <alignment horizontal="left"/>
    </xf>
    <xf numFmtId="0" fontId="31" fillId="7" borderId="11" xfId="0" applyFont="1" applyFill="1" applyBorder="1" applyAlignment="1">
      <alignment horizontal="left" wrapText="1"/>
    </xf>
    <xf numFmtId="2" fontId="34" fillId="7" borderId="11" xfId="0" applyNumberFormat="1" applyFont="1" applyFill="1" applyBorder="1" applyAlignment="1">
      <alignment horizontal="right"/>
    </xf>
    <xf numFmtId="2" fontId="30" fillId="7" borderId="11" xfId="0" applyNumberFormat="1" applyFont="1" applyFill="1" applyBorder="1" applyAlignment="1">
      <alignment horizontal="right"/>
    </xf>
    <xf numFmtId="0" fontId="34" fillId="4" borderId="11" xfId="0" applyFont="1" applyFill="1" applyBorder="1" applyAlignment="1">
      <alignment horizontal="left"/>
    </xf>
    <xf numFmtId="1" fontId="30" fillId="6" borderId="11" xfId="0" applyNumberFormat="1" applyFont="1" applyFill="1" applyBorder="1" applyAlignment="1">
      <alignment vertical="top"/>
    </xf>
    <xf numFmtId="0" fontId="30" fillId="4" borderId="11" xfId="0" applyFont="1" applyFill="1" applyBorder="1" applyAlignment="1">
      <alignment horizontal="center" vertical="center"/>
    </xf>
    <xf numFmtId="0" fontId="30" fillId="4" borderId="11" xfId="0" applyFont="1" applyFill="1" applyBorder="1" applyAlignment="1">
      <alignment horizontal="left" vertical="center"/>
    </xf>
    <xf numFmtId="1" fontId="30" fillId="4" borderId="11" xfId="5" applyNumberFormat="1" applyFont="1" applyFill="1" applyBorder="1" applyAlignment="1">
      <alignment horizontal="left" vertical="center"/>
    </xf>
    <xf numFmtId="166" fontId="30" fillId="4" borderId="11" xfId="4" applyNumberFormat="1" applyFont="1" applyFill="1" applyBorder="1" applyAlignment="1">
      <alignment horizontal="left" vertical="center"/>
    </xf>
    <xf numFmtId="0" fontId="30" fillId="4" borderId="11" xfId="0" applyFont="1" applyFill="1" applyBorder="1" applyAlignment="1">
      <alignment horizontal="left"/>
    </xf>
    <xf numFmtId="0" fontId="34" fillId="4" borderId="11" xfId="0" applyFont="1" applyFill="1" applyBorder="1" applyAlignment="1">
      <alignment wrapText="1"/>
    </xf>
    <xf numFmtId="164" fontId="30" fillId="4" borderId="11" xfId="0" applyNumberFormat="1" applyFont="1" applyFill="1" applyBorder="1" applyAlignment="1">
      <alignment horizontal="left" wrapText="1"/>
    </xf>
    <xf numFmtId="0" fontId="30" fillId="4" borderId="11" xfId="0" applyFont="1" applyFill="1" applyBorder="1" applyAlignment="1">
      <alignment horizontal="left" vertical="top" wrapText="1"/>
    </xf>
    <xf numFmtId="0" fontId="34" fillId="4" borderId="11" xfId="0" applyFont="1" applyFill="1" applyBorder="1" applyAlignment="1">
      <alignment horizontal="left" wrapText="1"/>
    </xf>
    <xf numFmtId="43" fontId="34" fillId="4" borderId="11" xfId="1" applyFont="1" applyFill="1" applyBorder="1" applyAlignment="1">
      <alignment horizontal="left" vertical="top" wrapText="1"/>
    </xf>
    <xf numFmtId="0" fontId="34" fillId="4" borderId="11" xfId="1" applyNumberFormat="1" applyFont="1" applyFill="1" applyBorder="1" applyAlignment="1">
      <alignment horizontal="left" vertical="top" wrapText="1"/>
    </xf>
    <xf numFmtId="0" fontId="34" fillId="4" borderId="11" xfId="1" applyNumberFormat="1" applyFont="1" applyFill="1" applyBorder="1" applyAlignment="1">
      <alignment horizontal="center" vertical="top"/>
    </xf>
    <xf numFmtId="1" fontId="34" fillId="4" borderId="11" xfId="1" applyNumberFormat="1" applyFont="1" applyFill="1" applyBorder="1" applyAlignment="1">
      <alignment horizontal="center" vertical="top"/>
    </xf>
    <xf numFmtId="9" fontId="34" fillId="4" borderId="11" xfId="0" applyNumberFormat="1" applyFont="1" applyFill="1" applyBorder="1" applyAlignment="1">
      <alignment horizontal="center" vertical="top" wrapText="1"/>
    </xf>
    <xf numFmtId="2" fontId="34" fillId="4" borderId="11" xfId="0" applyNumberFormat="1" applyFont="1" applyFill="1" applyBorder="1" applyAlignment="1">
      <alignment horizontal="right" wrapText="1"/>
    </xf>
    <xf numFmtId="1" fontId="34" fillId="4" borderId="11" xfId="0" applyNumberFormat="1" applyFont="1" applyFill="1" applyBorder="1" applyAlignment="1">
      <alignment horizontal="right" vertical="top"/>
    </xf>
    <xf numFmtId="2" fontId="34" fillId="4" borderId="11" xfId="0" applyNumberFormat="1" applyFont="1" applyFill="1" applyBorder="1" applyAlignment="1">
      <alignment horizontal="right" vertical="top"/>
    </xf>
    <xf numFmtId="2" fontId="33" fillId="7" borderId="11" xfId="0" applyNumberFormat="1" applyFont="1" applyFill="1" applyBorder="1" applyAlignment="1">
      <alignment wrapText="1"/>
    </xf>
    <xf numFmtId="2" fontId="34" fillId="0" borderId="11" xfId="0" applyNumberFormat="1" applyFont="1" applyBorder="1" applyAlignment="1">
      <alignment horizontal="left"/>
    </xf>
    <xf numFmtId="0" fontId="35" fillId="0" borderId="11" xfId="0" applyFont="1" applyBorder="1" applyAlignment="1">
      <alignment horizontal="left"/>
    </xf>
    <xf numFmtId="1" fontId="34" fillId="0" borderId="11" xfId="5" applyNumberFormat="1" applyFont="1" applyFill="1" applyBorder="1" applyAlignment="1">
      <alignment horizontal="right"/>
    </xf>
    <xf numFmtId="0" fontId="34" fillId="8" borderId="11" xfId="0" applyFont="1" applyFill="1" applyBorder="1" applyAlignment="1">
      <alignment horizontal="left"/>
    </xf>
    <xf numFmtId="1" fontId="34" fillId="8" borderId="11" xfId="5" applyNumberFormat="1" applyFont="1" applyFill="1" applyBorder="1" applyAlignment="1">
      <alignment horizontal="right"/>
    </xf>
    <xf numFmtId="2" fontId="34" fillId="8" borderId="11" xfId="4" applyNumberFormat="1" applyFont="1" applyFill="1" applyBorder="1" applyAlignment="1">
      <alignment horizontal="right"/>
    </xf>
    <xf numFmtId="0" fontId="34" fillId="8" borderId="11" xfId="0" applyFont="1" applyFill="1" applyBorder="1" applyAlignment="1">
      <alignment horizontal="right"/>
    </xf>
    <xf numFmtId="0" fontId="34" fillId="8" borderId="11" xfId="0" applyFont="1" applyFill="1" applyBorder="1"/>
    <xf numFmtId="164" fontId="30" fillId="7" borderId="11" xfId="0" applyNumberFormat="1" applyFont="1" applyFill="1" applyBorder="1" applyAlignment="1">
      <alignment horizontal="left"/>
    </xf>
    <xf numFmtId="0" fontId="34" fillId="7" borderId="11" xfId="0" applyFont="1" applyFill="1" applyBorder="1" applyAlignment="1">
      <alignment horizontal="left"/>
    </xf>
    <xf numFmtId="1" fontId="34" fillId="7" borderId="11" xfId="5" applyNumberFormat="1" applyFont="1" applyFill="1" applyBorder="1" applyAlignment="1">
      <alignment horizontal="right"/>
    </xf>
    <xf numFmtId="2" fontId="34" fillId="7" borderId="11" xfId="4" applyNumberFormat="1" applyFont="1" applyFill="1" applyBorder="1" applyAlignment="1">
      <alignment horizontal="right"/>
    </xf>
    <xf numFmtId="2" fontId="30" fillId="7" borderId="11" xfId="4" applyNumberFormat="1" applyFont="1" applyFill="1" applyBorder="1" applyAlignment="1">
      <alignment horizontal="right"/>
    </xf>
    <xf numFmtId="0" fontId="30" fillId="6" borderId="11" xfId="0" applyFont="1" applyFill="1" applyBorder="1" applyAlignment="1">
      <alignment horizontal="left"/>
    </xf>
    <xf numFmtId="2" fontId="34" fillId="8" borderId="11" xfId="0" applyNumberFormat="1" applyFont="1" applyFill="1" applyBorder="1"/>
    <xf numFmtId="2" fontId="31" fillId="8" borderId="11" xfId="0" applyNumberFormat="1" applyFont="1" applyFill="1" applyBorder="1" applyAlignment="1">
      <alignment wrapText="1"/>
    </xf>
    <xf numFmtId="0" fontId="30" fillId="7" borderId="11" xfId="0" applyFont="1" applyFill="1" applyBorder="1" applyAlignment="1">
      <alignment horizontal="left"/>
    </xf>
    <xf numFmtId="2" fontId="30" fillId="6" borderId="11" xfId="0" applyNumberFormat="1" applyFont="1" applyFill="1" applyBorder="1"/>
    <xf numFmtId="2" fontId="30" fillId="6" borderId="11" xfId="0" applyNumberFormat="1" applyFont="1" applyFill="1" applyBorder="1" applyAlignment="1">
      <alignment horizontal="right"/>
    </xf>
    <xf numFmtId="2" fontId="30" fillId="6" borderId="11" xfId="0" applyNumberFormat="1" applyFont="1" applyFill="1" applyBorder="1" applyAlignment="1">
      <alignment horizontal="center" wrapText="1"/>
    </xf>
    <xf numFmtId="2" fontId="31" fillId="6" borderId="11" xfId="0" applyNumberFormat="1" applyFont="1" applyFill="1" applyBorder="1"/>
    <xf numFmtId="0" fontId="32" fillId="6" borderId="11" xfId="4" applyNumberFormat="1" applyFont="1" applyFill="1" applyBorder="1" applyAlignment="1">
      <alignment horizontal="center"/>
    </xf>
    <xf numFmtId="0" fontId="32" fillId="6" borderId="11" xfId="0" applyFont="1" applyFill="1" applyBorder="1" applyAlignment="1">
      <alignment horizontal="center"/>
    </xf>
    <xf numFmtId="0" fontId="30" fillId="6" borderId="11" xfId="5" applyNumberFormat="1" applyFont="1" applyFill="1" applyBorder="1" applyAlignment="1">
      <alignment horizontal="left"/>
    </xf>
    <xf numFmtId="0" fontId="30" fillId="6" borderId="11" xfId="4" applyNumberFormat="1" applyFont="1" applyFill="1" applyBorder="1" applyAlignment="1">
      <alignment horizontal="left"/>
    </xf>
    <xf numFmtId="2" fontId="34" fillId="2" borderId="11" xfId="0" applyNumberFormat="1" applyFont="1" applyFill="1" applyBorder="1" applyAlignment="1">
      <alignment horizontal="right"/>
    </xf>
    <xf numFmtId="2" fontId="30" fillId="6" borderId="11" xfId="0" applyNumberFormat="1" applyFont="1" applyFill="1" applyBorder="1" applyAlignment="1">
      <alignment horizontal="right" wrapText="1"/>
    </xf>
    <xf numFmtId="2" fontId="34" fillId="4" borderId="11" xfId="4" applyNumberFormat="1" applyFont="1" applyFill="1" applyBorder="1" applyAlignment="1">
      <alignment horizontal="right"/>
    </xf>
    <xf numFmtId="0" fontId="34" fillId="2" borderId="11" xfId="0" applyFont="1" applyFill="1" applyBorder="1" applyAlignment="1">
      <alignment horizontal="right"/>
    </xf>
    <xf numFmtId="0" fontId="34" fillId="6" borderId="11" xfId="0" applyFont="1" applyFill="1" applyBorder="1" applyAlignment="1">
      <alignment wrapText="1"/>
    </xf>
    <xf numFmtId="0" fontId="30" fillId="4" borderId="11" xfId="0" applyFont="1" applyFill="1" applyBorder="1" applyAlignment="1">
      <alignment horizontal="center"/>
    </xf>
    <xf numFmtId="0" fontId="30" fillId="4" borderId="11" xfId="5" applyNumberFormat="1" applyFont="1" applyFill="1" applyBorder="1" applyAlignment="1">
      <alignment horizontal="left"/>
    </xf>
    <xf numFmtId="0" fontId="30" fillId="4" borderId="11" xfId="4" applyNumberFormat="1" applyFont="1" applyFill="1" applyBorder="1" applyAlignment="1">
      <alignment horizontal="left"/>
    </xf>
    <xf numFmtId="0" fontId="30" fillId="4" borderId="11" xfId="0" applyFont="1" applyFill="1" applyBorder="1" applyAlignment="1">
      <alignment horizontal="center" wrapText="1"/>
    </xf>
    <xf numFmtId="2" fontId="30" fillId="4" borderId="11" xfId="0" applyNumberFormat="1" applyFont="1" applyFill="1" applyBorder="1" applyAlignment="1">
      <alignment horizontal="center" wrapText="1"/>
    </xf>
    <xf numFmtId="1" fontId="34" fillId="4" borderId="11" xfId="5" applyNumberFormat="1" applyFont="1" applyFill="1" applyBorder="1" applyAlignment="1">
      <alignment horizontal="right"/>
    </xf>
    <xf numFmtId="0" fontId="34" fillId="4" borderId="11" xfId="0" applyFont="1" applyFill="1" applyBorder="1" applyAlignment="1">
      <alignment horizontal="right"/>
    </xf>
    <xf numFmtId="1" fontId="34" fillId="4" borderId="11" xfId="5" applyNumberFormat="1" applyFont="1" applyFill="1" applyBorder="1" applyAlignment="1">
      <alignment horizontal="center"/>
    </xf>
    <xf numFmtId="166" fontId="34" fillId="4" borderId="11" xfId="4" applyNumberFormat="1" applyFont="1" applyFill="1" applyBorder="1" applyAlignment="1">
      <alignment horizontal="center"/>
    </xf>
    <xf numFmtId="0" fontId="34" fillId="4" borderId="11" xfId="0" applyFont="1" applyFill="1" applyBorder="1" applyAlignment="1">
      <alignment horizontal="center"/>
    </xf>
    <xf numFmtId="1" fontId="34" fillId="4" borderId="11" xfId="1" applyNumberFormat="1" applyFont="1" applyFill="1" applyBorder="1" applyAlignment="1">
      <alignment horizontal="right"/>
    </xf>
    <xf numFmtId="2" fontId="34" fillId="4" borderId="11" xfId="1" applyNumberFormat="1" applyFont="1" applyFill="1" applyBorder="1" applyAlignment="1">
      <alignment horizontal="right"/>
    </xf>
    <xf numFmtId="0" fontId="31" fillId="4" borderId="11" xfId="0" applyFont="1" applyFill="1" applyBorder="1" applyAlignment="1">
      <alignment horizontal="left"/>
    </xf>
    <xf numFmtId="2" fontId="31" fillId="4" borderId="11" xfId="0" applyNumberFormat="1" applyFont="1" applyFill="1" applyBorder="1"/>
    <xf numFmtId="0" fontId="33" fillId="4" borderId="11" xfId="0" applyFont="1" applyFill="1" applyBorder="1" applyAlignment="1">
      <alignment wrapText="1"/>
    </xf>
    <xf numFmtId="0" fontId="31" fillId="4" borderId="11" xfId="0" applyFont="1" applyFill="1" applyBorder="1" applyAlignment="1">
      <alignment horizontal="center"/>
    </xf>
    <xf numFmtId="166" fontId="34" fillId="4" borderId="6" xfId="1" applyNumberFormat="1" applyFont="1" applyFill="1" applyBorder="1" applyAlignment="1">
      <alignment horizontal="center"/>
    </xf>
    <xf numFmtId="43" fontId="31" fillId="4" borderId="6" xfId="1" applyFont="1" applyFill="1" applyBorder="1" applyAlignment="1">
      <alignment horizontal="center"/>
    </xf>
    <xf numFmtId="0" fontId="31" fillId="4" borderId="11" xfId="0" applyFont="1" applyFill="1" applyBorder="1" applyAlignment="1">
      <alignment horizontal="right"/>
    </xf>
    <xf numFmtId="2" fontId="31" fillId="4" borderId="11" xfId="1" applyNumberFormat="1" applyFont="1" applyFill="1" applyBorder="1" applyAlignment="1">
      <alignment horizontal="right"/>
    </xf>
    <xf numFmtId="2" fontId="34" fillId="2" borderId="11" xfId="1" applyNumberFormat="1" applyFont="1" applyFill="1" applyBorder="1" applyAlignment="1"/>
    <xf numFmtId="49" fontId="30" fillId="6" borderId="11" xfId="0" applyNumberFormat="1" applyFont="1" applyFill="1" applyBorder="1" applyAlignment="1">
      <alignment horizontal="left" wrapText="1"/>
    </xf>
    <xf numFmtId="2" fontId="34" fillId="7" borderId="11" xfId="0" applyNumberFormat="1" applyFont="1" applyFill="1" applyBorder="1"/>
    <xf numFmtId="0" fontId="33" fillId="0" borderId="11" xfId="0" applyFont="1" applyBorder="1" applyAlignment="1">
      <alignment horizontal="left" vertical="top"/>
    </xf>
    <xf numFmtId="0" fontId="31" fillId="6" borderId="0" xfId="0" applyFont="1" applyFill="1"/>
    <xf numFmtId="0" fontId="30" fillId="0" borderId="11" xfId="0" applyFont="1" applyBorder="1" applyAlignment="1">
      <alignment horizontal="center" wrapText="1"/>
    </xf>
    <xf numFmtId="0" fontId="30" fillId="0" borderId="14" xfId="0" applyFont="1" applyBorder="1" applyAlignment="1">
      <alignment horizontal="center" wrapText="1"/>
    </xf>
    <xf numFmtId="0" fontId="30" fillId="0" borderId="10" xfId="0" applyFont="1" applyBorder="1" applyAlignment="1">
      <alignment horizontal="center" wrapText="1"/>
    </xf>
    <xf numFmtId="166" fontId="39" fillId="0" borderId="10" xfId="0" applyNumberFormat="1" applyFont="1" applyBorder="1" applyAlignment="1">
      <alignment horizontal="center" wrapText="1"/>
    </xf>
    <xf numFmtId="166" fontId="39" fillId="0" borderId="17" xfId="0" applyNumberFormat="1" applyFont="1" applyBorder="1" applyAlignment="1">
      <alignment horizontal="center" wrapText="1"/>
    </xf>
    <xf numFmtId="166" fontId="39" fillId="0" borderId="11" xfId="0" applyNumberFormat="1" applyFont="1" applyBorder="1" applyAlignment="1">
      <alignment horizontal="center" wrapText="1"/>
    </xf>
    <xf numFmtId="0" fontId="30" fillId="6" borderId="13" xfId="0" applyFont="1" applyFill="1" applyBorder="1" applyAlignment="1">
      <alignment horizontal="left"/>
    </xf>
    <xf numFmtId="49" fontId="30" fillId="6" borderId="13" xfId="0" applyNumberFormat="1" applyFont="1" applyFill="1" applyBorder="1"/>
    <xf numFmtId="0" fontId="30" fillId="6" borderId="6" xfId="0" applyFont="1" applyFill="1" applyBorder="1" applyAlignment="1">
      <alignment horizontal="left" wrapText="1"/>
    </xf>
    <xf numFmtId="166" fontId="34" fillId="4" borderId="11" xfId="1" applyNumberFormat="1" applyFont="1" applyFill="1" applyBorder="1" applyAlignment="1">
      <alignment horizontal="center"/>
    </xf>
    <xf numFmtId="43" fontId="31" fillId="4" borderId="11" xfId="1" applyFont="1" applyFill="1" applyBorder="1" applyAlignment="1">
      <alignment horizontal="center"/>
    </xf>
    <xf numFmtId="166" fontId="34" fillId="4" borderId="11" xfId="1" applyNumberFormat="1" applyFont="1" applyFill="1" applyBorder="1" applyAlignment="1"/>
    <xf numFmtId="166" fontId="34" fillId="7" borderId="11" xfId="1" applyNumberFormat="1" applyFont="1" applyFill="1" applyBorder="1" applyAlignment="1">
      <alignment horizontal="right"/>
    </xf>
    <xf numFmtId="1" fontId="31" fillId="7" borderId="11" xfId="1" applyNumberFormat="1" applyFont="1" applyFill="1" applyBorder="1" applyAlignment="1">
      <alignment horizontal="right"/>
    </xf>
    <xf numFmtId="2" fontId="34" fillId="7" borderId="11" xfId="1" applyNumberFormat="1" applyFont="1" applyFill="1" applyBorder="1" applyAlignment="1"/>
    <xf numFmtId="166" fontId="34" fillId="4" borderId="11" xfId="1" applyNumberFormat="1" applyFont="1" applyFill="1" applyBorder="1" applyAlignment="1">
      <alignment horizontal="right"/>
    </xf>
    <xf numFmtId="1" fontId="31" fillId="4" borderId="11" xfId="1" applyNumberFormat="1" applyFont="1" applyFill="1" applyBorder="1" applyAlignment="1">
      <alignment horizontal="right"/>
    </xf>
    <xf numFmtId="1" fontId="34" fillId="4" borderId="11" xfId="1" applyNumberFormat="1" applyFont="1" applyFill="1" applyBorder="1" applyAlignment="1"/>
    <xf numFmtId="2" fontId="31" fillId="7" borderId="11" xfId="0" applyNumberFormat="1" applyFont="1" applyFill="1" applyBorder="1" applyAlignment="1">
      <alignment horizontal="right"/>
    </xf>
    <xf numFmtId="2" fontId="31" fillId="7" borderId="11" xfId="1" applyNumberFormat="1" applyFont="1" applyFill="1" applyBorder="1" applyAlignment="1">
      <alignment horizontal="right"/>
    </xf>
    <xf numFmtId="2" fontId="31" fillId="7" borderId="11" xfId="0" applyNumberFormat="1" applyFont="1" applyFill="1" applyBorder="1"/>
    <xf numFmtId="2" fontId="30" fillId="6" borderId="11" xfId="1" applyNumberFormat="1" applyFont="1" applyFill="1" applyBorder="1" applyAlignment="1">
      <alignment horizontal="right"/>
    </xf>
    <xf numFmtId="2" fontId="30" fillId="6" borderId="11" xfId="1" applyNumberFormat="1" applyFont="1" applyFill="1" applyBorder="1" applyAlignment="1"/>
    <xf numFmtId="0" fontId="34" fillId="6" borderId="11" xfId="0" applyFont="1" applyFill="1" applyBorder="1" applyAlignment="1">
      <alignment horizontal="left"/>
    </xf>
    <xf numFmtId="2" fontId="34" fillId="6" borderId="11" xfId="0" applyNumberFormat="1" applyFont="1" applyFill="1" applyBorder="1" applyAlignment="1">
      <alignment horizontal="right"/>
    </xf>
    <xf numFmtId="0" fontId="34" fillId="2" borderId="11" xfId="0" applyFont="1" applyFill="1" applyBorder="1" applyAlignment="1">
      <alignment horizontal="center"/>
    </xf>
    <xf numFmtId="164" fontId="30" fillId="0" borderId="11" xfId="3" applyNumberFormat="1" applyFont="1" applyBorder="1" applyAlignment="1">
      <alignment horizontal="left"/>
    </xf>
    <xf numFmtId="164" fontId="30" fillId="0" borderId="11" xfId="3" applyNumberFormat="1" applyFont="1" applyBorder="1" applyAlignment="1">
      <alignment horizontal="left" wrapText="1"/>
    </xf>
    <xf numFmtId="164" fontId="34" fillId="0" borderId="11" xfId="3" applyNumberFormat="1" applyFont="1" applyBorder="1" applyAlignment="1">
      <alignment horizontal="left"/>
    </xf>
    <xf numFmtId="164" fontId="30" fillId="0" borderId="11" xfId="3" applyNumberFormat="1" applyFont="1" applyBorder="1"/>
    <xf numFmtId="164" fontId="30" fillId="0" borderId="11" xfId="3" applyNumberFormat="1" applyFont="1" applyBorder="1" applyAlignment="1">
      <alignment horizontal="center"/>
    </xf>
    <xf numFmtId="164" fontId="34" fillId="0" borderId="11" xfId="3" applyNumberFormat="1" applyFont="1" applyBorder="1" applyAlignment="1">
      <alignment horizontal="center"/>
    </xf>
    <xf numFmtId="164" fontId="34" fillId="0" borderId="11" xfId="3" applyNumberFormat="1" applyFont="1" applyBorder="1" applyAlignment="1">
      <alignment horizontal="center" wrapText="1"/>
    </xf>
    <xf numFmtId="164" fontId="34" fillId="0" borderId="11" xfId="3" applyNumberFormat="1" applyFont="1" applyBorder="1"/>
    <xf numFmtId="164" fontId="30" fillId="6" borderId="11" xfId="3" applyNumberFormat="1" applyFont="1" applyFill="1" applyBorder="1" applyAlignment="1">
      <alignment horizontal="left" wrapText="1"/>
    </xf>
    <xf numFmtId="164" fontId="40" fillId="6" borderId="11" xfId="3" applyNumberFormat="1" applyFont="1" applyFill="1" applyBorder="1" applyAlignment="1">
      <alignment horizontal="left" wrapText="1"/>
    </xf>
    <xf numFmtId="164" fontId="41" fillId="6" borderId="11" xfId="3" applyNumberFormat="1" applyFont="1" applyFill="1" applyBorder="1" applyAlignment="1">
      <alignment horizontal="center" wrapText="1"/>
    </xf>
    <xf numFmtId="164" fontId="35" fillId="6" borderId="11" xfId="4" applyNumberFormat="1" applyFont="1" applyFill="1" applyBorder="1" applyAlignment="1">
      <alignment wrapText="1"/>
    </xf>
    <xf numFmtId="164" fontId="35" fillId="6" borderId="11" xfId="3" applyNumberFormat="1" applyFont="1" applyFill="1" applyBorder="1" applyAlignment="1">
      <alignment horizontal="left" wrapText="1"/>
    </xf>
    <xf numFmtId="164" fontId="42" fillId="0" borderId="11" xfId="3" applyNumberFormat="1" applyFont="1" applyBorder="1" applyAlignment="1">
      <alignment horizontal="left" wrapText="1"/>
    </xf>
    <xf numFmtId="164" fontId="43" fillId="0" borderId="11" xfId="3" applyNumberFormat="1" applyFont="1" applyBorder="1" applyAlignment="1">
      <alignment horizontal="center" wrapText="1"/>
    </xf>
    <xf numFmtId="164" fontId="42" fillId="0" borderId="11" xfId="3" applyNumberFormat="1" applyFont="1" applyBorder="1" applyAlignment="1">
      <alignment wrapText="1"/>
    </xf>
    <xf numFmtId="164" fontId="30" fillId="6" borderId="11" xfId="3" applyNumberFormat="1" applyFont="1" applyFill="1" applyBorder="1" applyAlignment="1">
      <alignment horizontal="left"/>
    </xf>
    <xf numFmtId="0" fontId="30" fillId="6" borderId="11" xfId="3" applyFont="1" applyFill="1" applyBorder="1" applyAlignment="1">
      <alignment horizontal="left"/>
    </xf>
    <xf numFmtId="0" fontId="30" fillId="6" borderId="11" xfId="3" applyFont="1" applyFill="1" applyBorder="1" applyAlignment="1">
      <alignment horizontal="left" wrapText="1"/>
    </xf>
    <xf numFmtId="164" fontId="30" fillId="4" borderId="11" xfId="3" applyNumberFormat="1" applyFont="1" applyFill="1" applyBorder="1" applyAlignment="1">
      <alignment horizontal="left"/>
    </xf>
    <xf numFmtId="164" fontId="30" fillId="6" borderId="11" xfId="3" applyNumberFormat="1" applyFont="1" applyFill="1" applyBorder="1"/>
    <xf numFmtId="164" fontId="30" fillId="6" borderId="11" xfId="3" applyNumberFormat="1" applyFont="1" applyFill="1" applyBorder="1" applyAlignment="1">
      <alignment horizontal="center"/>
    </xf>
    <xf numFmtId="0" fontId="30" fillId="6" borderId="11" xfId="3" applyFont="1" applyFill="1" applyBorder="1" applyAlignment="1">
      <alignment horizontal="center"/>
    </xf>
    <xf numFmtId="0" fontId="30" fillId="6" borderId="11" xfId="3" applyFont="1" applyFill="1" applyBorder="1" applyAlignment="1">
      <alignment horizontal="center" wrapText="1"/>
    </xf>
    <xf numFmtId="0" fontId="34" fillId="0" borderId="11" xfId="3" applyFont="1" applyBorder="1" applyAlignment="1">
      <alignment horizontal="right"/>
    </xf>
    <xf numFmtId="1" fontId="34" fillId="0" borderId="11" xfId="3" applyNumberFormat="1" applyFont="1" applyBorder="1" applyAlignment="1">
      <alignment horizontal="right"/>
    </xf>
    <xf numFmtId="2" fontId="34" fillId="0" borderId="11" xfId="3" applyNumberFormat="1" applyFont="1" applyBorder="1"/>
    <xf numFmtId="2" fontId="34" fillId="0" borderId="11" xfId="3" applyNumberFormat="1" applyFont="1" applyBorder="1" applyAlignment="1">
      <alignment horizontal="right"/>
    </xf>
    <xf numFmtId="3" fontId="34" fillId="0" borderId="11" xfId="3" applyNumberFormat="1" applyFont="1" applyBorder="1" applyAlignment="1">
      <alignment horizontal="right" wrapText="1"/>
    </xf>
    <xf numFmtId="164" fontId="30" fillId="7" borderId="11" xfId="3" applyNumberFormat="1" applyFont="1" applyFill="1" applyBorder="1"/>
    <xf numFmtId="164" fontId="34" fillId="7" borderId="11" xfId="3" applyNumberFormat="1" applyFont="1" applyFill="1" applyBorder="1" applyAlignment="1">
      <alignment horizontal="left"/>
    </xf>
    <xf numFmtId="164" fontId="34" fillId="7" borderId="11" xfId="3" applyNumberFormat="1" applyFont="1" applyFill="1" applyBorder="1" applyAlignment="1">
      <alignment horizontal="center"/>
    </xf>
    <xf numFmtId="1" fontId="34" fillId="7" borderId="11" xfId="3" applyNumberFormat="1" applyFont="1" applyFill="1" applyBorder="1" applyAlignment="1">
      <alignment horizontal="center"/>
    </xf>
    <xf numFmtId="2" fontId="34" fillId="7" borderId="11" xfId="3" applyNumberFormat="1" applyFont="1" applyFill="1" applyBorder="1" applyAlignment="1">
      <alignment horizontal="center"/>
    </xf>
    <xf numFmtId="2" fontId="30" fillId="7" borderId="11" xfId="3" applyNumberFormat="1" applyFont="1" applyFill="1" applyBorder="1" applyAlignment="1">
      <alignment horizontal="right"/>
    </xf>
    <xf numFmtId="164" fontId="34" fillId="7" borderId="11" xfId="3" applyNumberFormat="1" applyFont="1" applyFill="1" applyBorder="1" applyAlignment="1">
      <alignment horizontal="center" wrapText="1"/>
    </xf>
    <xf numFmtId="164" fontId="34" fillId="6" borderId="11" xfId="3" applyNumberFormat="1" applyFont="1" applyFill="1" applyBorder="1" applyAlignment="1">
      <alignment horizontal="left"/>
    </xf>
    <xf numFmtId="164" fontId="34" fillId="6" borderId="11" xfId="3" applyNumberFormat="1" applyFont="1" applyFill="1" applyBorder="1" applyAlignment="1">
      <alignment horizontal="center"/>
    </xf>
    <xf numFmtId="1" fontId="34" fillId="6" borderId="11" xfId="3" applyNumberFormat="1" applyFont="1" applyFill="1" applyBorder="1" applyAlignment="1">
      <alignment horizontal="center"/>
    </xf>
    <xf numFmtId="2" fontId="34" fillId="6" borderId="11" xfId="3" applyNumberFormat="1" applyFont="1" applyFill="1" applyBorder="1" applyAlignment="1">
      <alignment horizontal="center"/>
    </xf>
    <xf numFmtId="2" fontId="34" fillId="6" borderId="11" xfId="3" applyNumberFormat="1" applyFont="1" applyFill="1" applyBorder="1"/>
    <xf numFmtId="2" fontId="34" fillId="6" borderId="11" xfId="3" applyNumberFormat="1" applyFont="1" applyFill="1" applyBorder="1" applyAlignment="1">
      <alignment horizontal="right"/>
    </xf>
    <xf numFmtId="164" fontId="34" fillId="6" borderId="11" xfId="3" applyNumberFormat="1" applyFont="1" applyFill="1" applyBorder="1" applyAlignment="1">
      <alignment horizontal="center" wrapText="1"/>
    </xf>
    <xf numFmtId="43" fontId="30" fillId="0" borderId="11" xfId="3" applyNumberFormat="1" applyFont="1" applyBorder="1"/>
    <xf numFmtId="164" fontId="34" fillId="7" borderId="11" xfId="3" applyNumberFormat="1" applyFont="1" applyFill="1" applyBorder="1"/>
    <xf numFmtId="164" fontId="30" fillId="6" borderId="11" xfId="3" applyNumberFormat="1" applyFont="1" applyFill="1" applyBorder="1" applyAlignment="1">
      <alignment wrapText="1"/>
    </xf>
    <xf numFmtId="164" fontId="34" fillId="6" borderId="11" xfId="3" applyNumberFormat="1" applyFont="1" applyFill="1" applyBorder="1"/>
    <xf numFmtId="164" fontId="30" fillId="4" borderId="11" xfId="3" applyNumberFormat="1" applyFont="1" applyFill="1" applyBorder="1"/>
    <xf numFmtId="164" fontId="34" fillId="0" borderId="11" xfId="3" applyNumberFormat="1" applyFont="1" applyBorder="1" applyAlignment="1">
      <alignment horizontal="left" wrapText="1"/>
    </xf>
    <xf numFmtId="1" fontId="30" fillId="0" borderId="11" xfId="3" applyNumberFormat="1" applyFont="1" applyBorder="1"/>
    <xf numFmtId="2" fontId="34" fillId="7" borderId="11" xfId="3" applyNumberFormat="1" applyFont="1" applyFill="1" applyBorder="1" applyAlignment="1">
      <alignment horizontal="center" wrapText="1"/>
    </xf>
    <xf numFmtId="1" fontId="30" fillId="7" borderId="11" xfId="3" applyNumberFormat="1" applyFont="1" applyFill="1" applyBorder="1" applyAlignment="1">
      <alignment horizontal="right"/>
    </xf>
    <xf numFmtId="43" fontId="30" fillId="7" borderId="11" xfId="3" applyNumberFormat="1" applyFont="1" applyFill="1" applyBorder="1"/>
    <xf numFmtId="1" fontId="34" fillId="0" borderId="11" xfId="4" applyNumberFormat="1" applyFont="1" applyFill="1" applyBorder="1" applyAlignment="1">
      <alignment horizontal="right"/>
    </xf>
    <xf numFmtId="1" fontId="34" fillId="0" borderId="11" xfId="4" applyNumberFormat="1" applyFont="1" applyFill="1" applyBorder="1" applyAlignment="1">
      <alignment horizontal="center"/>
    </xf>
    <xf numFmtId="165" fontId="34" fillId="0" borderId="11" xfId="4" applyFont="1" applyFill="1" applyBorder="1" applyAlignment="1">
      <alignment horizontal="center"/>
    </xf>
    <xf numFmtId="1" fontId="34" fillId="6" borderId="11" xfId="4" applyNumberFormat="1" applyFont="1" applyFill="1" applyBorder="1" applyAlignment="1">
      <alignment horizontal="center"/>
    </xf>
    <xf numFmtId="165" fontId="34" fillId="6" borderId="11" xfId="4" applyFont="1" applyFill="1" applyBorder="1" applyAlignment="1">
      <alignment horizontal="center"/>
    </xf>
    <xf numFmtId="1" fontId="30" fillId="6" borderId="11" xfId="3" applyNumberFormat="1" applyFont="1" applyFill="1" applyBorder="1" applyAlignment="1">
      <alignment horizontal="left"/>
    </xf>
    <xf numFmtId="2" fontId="34" fillId="4" borderId="11" xfId="3" applyNumberFormat="1" applyFont="1" applyFill="1" applyBorder="1"/>
    <xf numFmtId="164" fontId="30" fillId="7" borderId="11" xfId="3" applyNumberFormat="1" applyFont="1" applyFill="1" applyBorder="1" applyAlignment="1">
      <alignment wrapText="1"/>
    </xf>
    <xf numFmtId="2" fontId="30" fillId="7" borderId="11" xfId="3" applyNumberFormat="1" applyFont="1" applyFill="1" applyBorder="1"/>
    <xf numFmtId="1" fontId="30" fillId="7" borderId="11" xfId="3" applyNumberFormat="1" applyFont="1" applyFill="1" applyBorder="1" applyAlignment="1">
      <alignment horizontal="center"/>
    </xf>
    <xf numFmtId="164" fontId="30" fillId="7" borderId="11" xfId="3" applyNumberFormat="1" applyFont="1" applyFill="1" applyBorder="1" applyAlignment="1">
      <alignment horizontal="right"/>
    </xf>
    <xf numFmtId="164" fontId="34" fillId="7" borderId="11" xfId="3" applyNumberFormat="1" applyFont="1" applyFill="1" applyBorder="1" applyAlignment="1">
      <alignment wrapText="1"/>
    </xf>
    <xf numFmtId="164" fontId="30" fillId="4" borderId="11" xfId="3" applyNumberFormat="1" applyFont="1" applyFill="1" applyBorder="1" applyAlignment="1">
      <alignment horizontal="center"/>
    </xf>
    <xf numFmtId="164" fontId="34" fillId="4" borderId="11" xfId="3" applyNumberFormat="1" applyFont="1" applyFill="1" applyBorder="1"/>
    <xf numFmtId="1" fontId="30" fillId="4" borderId="11" xfId="3" applyNumberFormat="1" applyFont="1" applyFill="1" applyBorder="1" applyAlignment="1">
      <alignment horizontal="center"/>
    </xf>
    <xf numFmtId="164" fontId="30" fillId="4" borderId="11" xfId="3" applyNumberFormat="1" applyFont="1" applyFill="1" applyBorder="1" applyAlignment="1">
      <alignment horizontal="right"/>
    </xf>
    <xf numFmtId="164" fontId="34" fillId="4" borderId="11" xfId="3" applyNumberFormat="1" applyFont="1" applyFill="1" applyBorder="1" applyAlignment="1">
      <alignment wrapText="1"/>
    </xf>
    <xf numFmtId="2" fontId="34" fillId="2" borderId="11" xfId="3" applyNumberFormat="1" applyFont="1" applyFill="1" applyBorder="1"/>
    <xf numFmtId="1" fontId="34" fillId="2" borderId="11" xfId="3" applyNumberFormat="1" applyFont="1" applyFill="1" applyBorder="1" applyAlignment="1">
      <alignment horizontal="center"/>
    </xf>
    <xf numFmtId="164" fontId="30" fillId="2" borderId="11" xfId="3" applyNumberFormat="1" applyFont="1" applyFill="1" applyBorder="1" applyAlignment="1">
      <alignment horizontal="center"/>
    </xf>
    <xf numFmtId="164" fontId="30" fillId="2" borderId="11" xfId="3" applyNumberFormat="1" applyFont="1" applyFill="1" applyBorder="1"/>
    <xf numFmtId="164" fontId="34" fillId="2" borderId="11" xfId="3" applyNumberFormat="1" applyFont="1" applyFill="1" applyBorder="1" applyAlignment="1">
      <alignment horizontal="right" wrapText="1"/>
    </xf>
    <xf numFmtId="164" fontId="34" fillId="2" borderId="11" xfId="3" applyNumberFormat="1" applyFont="1" applyFill="1" applyBorder="1"/>
    <xf numFmtId="0" fontId="34" fillId="2" borderId="11" xfId="3" applyFont="1" applyFill="1" applyBorder="1" applyAlignment="1">
      <alignment horizontal="center"/>
    </xf>
    <xf numFmtId="2" fontId="30" fillId="2" borderId="11" xfId="6" applyNumberFormat="1" applyFont="1" applyFill="1" applyBorder="1" applyAlignment="1"/>
    <xf numFmtId="1" fontId="30" fillId="6" borderId="11" xfId="4" applyNumberFormat="1" applyFont="1" applyFill="1" applyBorder="1" applyAlignment="1">
      <alignment horizontal="right"/>
    </xf>
    <xf numFmtId="164" fontId="34" fillId="4" borderId="11" xfId="3" applyNumberFormat="1" applyFont="1" applyFill="1" applyBorder="1" applyAlignment="1">
      <alignment horizontal="center"/>
    </xf>
    <xf numFmtId="164" fontId="34" fillId="4" borderId="11" xfId="3" applyNumberFormat="1" applyFont="1" applyFill="1" applyBorder="1" applyAlignment="1">
      <alignment horizontal="center" wrapText="1"/>
    </xf>
    <xf numFmtId="164" fontId="30" fillId="4" borderId="11" xfId="3" applyNumberFormat="1" applyFont="1" applyFill="1" applyBorder="1" applyAlignment="1">
      <alignment horizontal="center" wrapText="1"/>
    </xf>
    <xf numFmtId="0" fontId="30" fillId="4" borderId="11" xfId="3" applyFont="1" applyFill="1" applyBorder="1" applyAlignment="1">
      <alignment horizontal="center"/>
    </xf>
    <xf numFmtId="0" fontId="30" fillId="4" borderId="11" xfId="3" applyFont="1" applyFill="1" applyBorder="1" applyAlignment="1">
      <alignment horizontal="center" wrapText="1"/>
    </xf>
    <xf numFmtId="2" fontId="31" fillId="2" borderId="11" xfId="5" applyNumberFormat="1" applyFont="1" applyFill="1" applyBorder="1" applyAlignment="1"/>
    <xf numFmtId="2" fontId="31" fillId="2" borderId="0" xfId="0" applyNumberFormat="1" applyFont="1" applyFill="1"/>
    <xf numFmtId="2" fontId="31" fillId="2" borderId="11" xfId="0" quotePrefix="1" applyNumberFormat="1" applyFont="1" applyFill="1" applyBorder="1" applyAlignment="1">
      <alignment horizontal="right"/>
    </xf>
    <xf numFmtId="2" fontId="31" fillId="2" borderId="11" xfId="4" applyNumberFormat="1" applyFont="1" applyFill="1" applyBorder="1" applyAlignment="1">
      <alignment horizontal="right"/>
    </xf>
    <xf numFmtId="2" fontId="34" fillId="2" borderId="11" xfId="5" applyNumberFormat="1" applyFont="1" applyFill="1" applyBorder="1" applyAlignment="1"/>
    <xf numFmtId="2" fontId="34" fillId="2" borderId="11" xfId="0" applyNumberFormat="1" applyFont="1" applyFill="1" applyBorder="1" applyAlignment="1">
      <alignment horizontal="center"/>
    </xf>
    <xf numFmtId="2" fontId="30" fillId="6" borderId="11" xfId="4" applyNumberFormat="1" applyFont="1" applyFill="1" applyBorder="1" applyAlignment="1">
      <alignment horizontal="right"/>
    </xf>
    <xf numFmtId="0" fontId="33" fillId="6" borderId="14" xfId="0" applyFont="1" applyFill="1" applyBorder="1"/>
    <xf numFmtId="0" fontId="31" fillId="7" borderId="11" xfId="0" applyFont="1" applyFill="1" applyBorder="1" applyAlignment="1">
      <alignment horizontal="left"/>
    </xf>
    <xf numFmtId="0" fontId="30" fillId="6" borderId="17" xfId="0" applyFont="1" applyFill="1" applyBorder="1" applyAlignment="1">
      <alignment horizontal="left" vertical="top"/>
    </xf>
    <xf numFmtId="0" fontId="31" fillId="6" borderId="14" xfId="0" applyFont="1" applyFill="1" applyBorder="1"/>
    <xf numFmtId="0" fontId="30" fillId="4" borderId="14" xfId="0" applyFont="1" applyFill="1" applyBorder="1" applyAlignment="1">
      <alignment horizontal="left" vertical="top"/>
    </xf>
    <xf numFmtId="0" fontId="30" fillId="4" borderId="17" xfId="0" applyFont="1" applyFill="1" applyBorder="1" applyAlignment="1">
      <alignment horizontal="left" vertical="top"/>
    </xf>
    <xf numFmtId="0" fontId="30" fillId="6" borderId="14" xfId="0" applyFont="1" applyFill="1" applyBorder="1" applyAlignment="1">
      <alignment vertical="top"/>
    </xf>
    <xf numFmtId="1" fontId="30" fillId="4" borderId="11" xfId="0" applyNumberFormat="1" applyFont="1" applyFill="1" applyBorder="1" applyAlignment="1">
      <alignment vertical="top"/>
    </xf>
    <xf numFmtId="0" fontId="30" fillId="6" borderId="17" xfId="0" applyFont="1" applyFill="1" applyBorder="1" applyAlignment="1">
      <alignment horizontal="left" vertical="top" wrapText="1"/>
    </xf>
    <xf numFmtId="43" fontId="13" fillId="2" borderId="0" xfId="0" applyNumberFormat="1" applyFont="1" applyFill="1" applyAlignment="1">
      <alignment horizontal="center" vertical="center" wrapText="1"/>
    </xf>
    <xf numFmtId="166" fontId="16" fillId="2" borderId="0" xfId="1" applyNumberFormat="1" applyFont="1" applyFill="1" applyBorder="1" applyAlignment="1">
      <alignment horizontal="left" wrapText="1"/>
    </xf>
    <xf numFmtId="43" fontId="22" fillId="2" borderId="0" xfId="0" applyNumberFormat="1" applyFont="1" applyFill="1" applyAlignment="1">
      <alignment horizontal="center" vertical="center" wrapText="1"/>
    </xf>
    <xf numFmtId="43" fontId="16" fillId="2" borderId="0" xfId="1" applyFont="1" applyFill="1" applyBorder="1" applyAlignment="1">
      <alignment horizontal="left" wrapText="1"/>
    </xf>
    <xf numFmtId="1" fontId="24" fillId="2" borderId="0" xfId="1" applyNumberFormat="1" applyFont="1" applyFill="1" applyBorder="1" applyAlignment="1">
      <alignment horizontal="center" vertical="top"/>
    </xf>
    <xf numFmtId="0" fontId="31" fillId="0" borderId="0" xfId="0" applyFont="1"/>
    <xf numFmtId="2" fontId="34" fillId="4" borderId="11" xfId="3" applyNumberFormat="1" applyFont="1" applyFill="1" applyBorder="1" applyAlignment="1">
      <alignment horizontal="right"/>
    </xf>
    <xf numFmtId="2" fontId="34" fillId="2" borderId="11" xfId="3" applyNumberFormat="1" applyFont="1" applyFill="1" applyBorder="1" applyAlignment="1">
      <alignment horizontal="right"/>
    </xf>
    <xf numFmtId="0" fontId="34" fillId="0" borderId="11" xfId="4" applyNumberFormat="1" applyFont="1" applyFill="1" applyBorder="1" applyAlignment="1">
      <alignment horizontal="right"/>
    </xf>
    <xf numFmtId="0" fontId="30" fillId="2" borderId="11" xfId="0" applyFont="1" applyFill="1" applyBorder="1" applyAlignment="1">
      <alignment horizontal="left"/>
    </xf>
    <xf numFmtId="0" fontId="30" fillId="2" borderId="11" xfId="0" applyFont="1" applyFill="1" applyBorder="1"/>
    <xf numFmtId="0" fontId="34" fillId="2" borderId="11" xfId="0" applyFont="1" applyFill="1" applyBorder="1" applyAlignment="1">
      <alignment horizontal="left"/>
    </xf>
    <xf numFmtId="0" fontId="33" fillId="2" borderId="11" xfId="0" applyFont="1" applyFill="1" applyBorder="1" applyAlignment="1">
      <alignment horizontal="left"/>
    </xf>
    <xf numFmtId="0" fontId="30" fillId="2" borderId="11" xfId="0" applyFont="1" applyFill="1" applyBorder="1" applyAlignment="1">
      <alignment horizontal="center"/>
    </xf>
    <xf numFmtId="0" fontId="33" fillId="2" borderId="11" xfId="0" applyFont="1" applyFill="1" applyBorder="1" applyAlignment="1">
      <alignment horizontal="center"/>
    </xf>
    <xf numFmtId="0" fontId="30" fillId="2" borderId="11" xfId="0" applyFont="1" applyFill="1" applyBorder="1" applyAlignment="1">
      <alignment horizontal="left" wrapText="1"/>
    </xf>
    <xf numFmtId="2" fontId="30" fillId="2" borderId="11" xfId="5" applyNumberFormat="1" applyFont="1" applyFill="1" applyBorder="1" applyAlignment="1"/>
    <xf numFmtId="2" fontId="30" fillId="2" borderId="11" xfId="5" applyNumberFormat="1" applyFont="1" applyFill="1" applyBorder="1" applyAlignment="1">
      <alignment horizontal="right"/>
    </xf>
    <xf numFmtId="0" fontId="2" fillId="0" borderId="11" xfId="0" applyFont="1" applyBorder="1" applyAlignment="1">
      <alignment vertical="top"/>
    </xf>
    <xf numFmtId="0" fontId="30" fillId="0" borderId="11" xfId="0" applyFont="1" applyBorder="1" applyAlignment="1">
      <alignment vertical="top" wrapText="1"/>
    </xf>
    <xf numFmtId="0" fontId="31" fillId="0" borderId="0" xfId="0" applyFont="1" applyAlignment="1">
      <alignment wrapText="1"/>
    </xf>
    <xf numFmtId="2" fontId="31" fillId="2" borderId="11" xfId="0" applyNumberFormat="1" applyFont="1" applyFill="1" applyBorder="1" applyAlignment="1">
      <alignment vertical="center"/>
    </xf>
    <xf numFmtId="2" fontId="34" fillId="2" borderId="11" xfId="0" applyNumberFormat="1" applyFont="1" applyFill="1" applyBorder="1" applyAlignment="1">
      <alignment vertical="center"/>
    </xf>
    <xf numFmtId="0" fontId="33" fillId="2" borderId="18" xfId="0" applyFont="1" applyFill="1" applyBorder="1" applyAlignment="1">
      <alignment horizontal="left"/>
    </xf>
    <xf numFmtId="0" fontId="33" fillId="0" borderId="17" xfId="0" applyFont="1" applyBorder="1"/>
    <xf numFmtId="0" fontId="33" fillId="0" borderId="9" xfId="0" applyFont="1" applyBorder="1"/>
    <xf numFmtId="0" fontId="33" fillId="2" borderId="22" xfId="0" applyFont="1" applyFill="1" applyBorder="1" applyAlignment="1">
      <alignment horizontal="left"/>
    </xf>
    <xf numFmtId="0" fontId="30" fillId="2" borderId="12" xfId="0" applyFont="1" applyFill="1" applyBorder="1" applyAlignment="1">
      <alignment horizontal="left"/>
    </xf>
    <xf numFmtId="0" fontId="33" fillId="2" borderId="23" xfId="0" applyFont="1" applyFill="1" applyBorder="1" applyAlignment="1">
      <alignment horizontal="left"/>
    </xf>
    <xf numFmtId="0" fontId="30" fillId="2" borderId="12" xfId="0" applyFont="1" applyFill="1" applyBorder="1" applyAlignment="1">
      <alignment horizontal="left" wrapText="1"/>
    </xf>
    <xf numFmtId="0" fontId="30" fillId="2" borderId="23" xfId="0" applyFont="1" applyFill="1" applyBorder="1" applyAlignment="1">
      <alignment horizontal="left" wrapText="1"/>
    </xf>
    <xf numFmtId="2" fontId="31" fillId="2" borderId="12" xfId="0" applyNumberFormat="1" applyFont="1" applyFill="1" applyBorder="1" applyAlignment="1">
      <alignment horizontal="left" wrapText="1"/>
    </xf>
    <xf numFmtId="2" fontId="30" fillId="2" borderId="12" xfId="0" applyNumberFormat="1" applyFont="1" applyFill="1" applyBorder="1" applyAlignment="1">
      <alignment horizontal="left" wrapText="1"/>
    </xf>
    <xf numFmtId="2" fontId="33" fillId="2" borderId="12" xfId="0" applyNumberFormat="1" applyFont="1" applyFill="1" applyBorder="1" applyAlignment="1">
      <alignment horizontal="left" wrapText="1"/>
    </xf>
    <xf numFmtId="2" fontId="33" fillId="2" borderId="2" xfId="0" applyNumberFormat="1" applyFont="1" applyFill="1" applyBorder="1" applyAlignment="1">
      <alignment horizontal="left" wrapText="1"/>
    </xf>
    <xf numFmtId="2" fontId="31" fillId="2" borderId="3" xfId="0" applyNumberFormat="1" applyFont="1" applyFill="1" applyBorder="1"/>
    <xf numFmtId="2" fontId="30" fillId="2" borderId="3" xfId="5" applyNumberFormat="1" applyFont="1" applyFill="1" applyBorder="1" applyAlignment="1">
      <alignment horizontal="right"/>
    </xf>
    <xf numFmtId="2" fontId="31" fillId="2" borderId="3" xfId="4" applyNumberFormat="1" applyFont="1" applyFill="1" applyBorder="1" applyAlignment="1">
      <alignment horizontal="right"/>
    </xf>
    <xf numFmtId="0" fontId="30" fillId="2" borderId="18" xfId="0" applyFont="1" applyFill="1" applyBorder="1" applyAlignment="1">
      <alignment horizontal="left" wrapText="1"/>
    </xf>
    <xf numFmtId="2" fontId="31" fillId="2" borderId="18" xfId="5" applyNumberFormat="1" applyFont="1" applyFill="1" applyBorder="1" applyAlignment="1"/>
    <xf numFmtId="2" fontId="30" fillId="2" borderId="18" xfId="5" applyNumberFormat="1" applyFont="1" applyFill="1" applyBorder="1" applyAlignment="1"/>
    <xf numFmtId="2" fontId="30" fillId="2" borderId="18" xfId="5" applyNumberFormat="1" applyFont="1" applyFill="1" applyBorder="1" applyAlignment="1">
      <alignment horizontal="right"/>
    </xf>
    <xf numFmtId="0" fontId="33" fillId="0" borderId="23" xfId="0" applyFont="1" applyBorder="1"/>
    <xf numFmtId="0" fontId="30" fillId="0" borderId="10" xfId="0" applyFont="1" applyBorder="1" applyAlignment="1">
      <alignment horizontal="left" wrapText="1"/>
    </xf>
    <xf numFmtId="0" fontId="31" fillId="0" borderId="10" xfId="0" applyFont="1" applyBorder="1"/>
    <xf numFmtId="0" fontId="33" fillId="0" borderId="10" xfId="0" applyFont="1" applyBorder="1"/>
    <xf numFmtId="0" fontId="0" fillId="0" borderId="10" xfId="0" applyBorder="1"/>
    <xf numFmtId="2" fontId="31" fillId="0" borderId="23" xfId="0" applyNumberFormat="1" applyFont="1" applyBorder="1"/>
    <xf numFmtId="2" fontId="30" fillId="0" borderId="23" xfId="0" applyNumberFormat="1" applyFont="1" applyBorder="1"/>
    <xf numFmtId="2" fontId="33" fillId="0" borderId="23" xfId="0" applyNumberFormat="1" applyFont="1" applyBorder="1"/>
    <xf numFmtId="2" fontId="34" fillId="2" borderId="12" xfId="0" applyNumberFormat="1" applyFont="1" applyFill="1" applyBorder="1" applyAlignment="1">
      <alignment horizontal="left" wrapText="1"/>
    </xf>
    <xf numFmtId="2" fontId="31" fillId="2" borderId="11" xfId="0" applyNumberFormat="1" applyFont="1" applyFill="1" applyBorder="1" applyAlignment="1">
      <alignment horizontal="right"/>
    </xf>
    <xf numFmtId="0" fontId="33" fillId="0" borderId="0" xfId="0" applyFont="1" applyAlignment="1">
      <alignment wrapText="1"/>
    </xf>
    <xf numFmtId="0" fontId="33" fillId="0" borderId="0" xfId="0" applyFont="1"/>
    <xf numFmtId="0" fontId="31" fillId="0" borderId="12" xfId="0" applyFont="1" applyBorder="1"/>
    <xf numFmtId="9" fontId="31" fillId="0" borderId="23" xfId="0" applyNumberFormat="1" applyFont="1" applyBorder="1"/>
    <xf numFmtId="2" fontId="31" fillId="0" borderId="12" xfId="0" applyNumberFormat="1" applyFont="1" applyBorder="1"/>
    <xf numFmtId="2" fontId="31" fillId="0" borderId="18" xfId="0" applyNumberFormat="1" applyFont="1" applyBorder="1"/>
    <xf numFmtId="2" fontId="33" fillId="2" borderId="11" xfId="4" applyNumberFormat="1" applyFont="1" applyFill="1" applyBorder="1" applyAlignment="1">
      <alignment horizontal="right"/>
    </xf>
    <xf numFmtId="2" fontId="33" fillId="2" borderId="3" xfId="4" applyNumberFormat="1" applyFont="1" applyFill="1" applyBorder="1" applyAlignment="1">
      <alignment horizontal="right"/>
    </xf>
    <xf numFmtId="0" fontId="33" fillId="0" borderId="18" xfId="0" applyFont="1" applyBorder="1"/>
    <xf numFmtId="9" fontId="33" fillId="0" borderId="23" xfId="0" applyNumberFormat="1" applyFont="1" applyBorder="1"/>
    <xf numFmtId="0" fontId="33" fillId="0" borderId="21" xfId="0" applyFont="1" applyBorder="1"/>
    <xf numFmtId="0" fontId="33" fillId="0" borderId="22" xfId="0" applyFont="1" applyBorder="1"/>
    <xf numFmtId="2" fontId="31" fillId="2" borderId="3" xfId="0" applyNumberFormat="1" applyFont="1" applyFill="1" applyBorder="1" applyAlignment="1">
      <alignment vertical="center"/>
    </xf>
    <xf numFmtId="2" fontId="33" fillId="0" borderId="24" xfId="0" applyNumberFormat="1" applyFont="1" applyBorder="1"/>
    <xf numFmtId="2" fontId="31" fillId="2" borderId="11" xfId="0" applyNumberFormat="1" applyFont="1" applyFill="1" applyBorder="1" applyAlignment="1">
      <alignment vertical="center"/>
    </xf>
    <xf numFmtId="169" fontId="31" fillId="2" borderId="23" xfId="5" applyNumberFormat="1" applyFont="1" applyFill="1" applyBorder="1" applyAlignment="1"/>
    <xf numFmtId="169" fontId="30" fillId="2" borderId="23" xfId="5" applyNumberFormat="1" applyFont="1" applyFill="1" applyBorder="1" applyAlignment="1"/>
    <xf numFmtId="169" fontId="31" fillId="2" borderId="24" xfId="5" applyNumberFormat="1" applyFont="1" applyFill="1" applyBorder="1" applyAlignment="1"/>
    <xf numFmtId="2" fontId="32" fillId="0" borderId="11" xfId="4" applyNumberFormat="1" applyFont="1" applyFill="1" applyBorder="1" applyAlignment="1">
      <alignment horizontal="right"/>
    </xf>
    <xf numFmtId="0" fontId="44" fillId="6" borderId="18" xfId="0" applyFont="1" applyFill="1" applyBorder="1" applyAlignment="1">
      <alignment horizontal="left"/>
    </xf>
    <xf numFmtId="0" fontId="44" fillId="6" borderId="11" xfId="0" applyFont="1" applyFill="1" applyBorder="1"/>
    <xf numFmtId="2" fontId="32" fillId="0" borderId="11" xfId="0" applyNumberFormat="1" applyFont="1" applyBorder="1"/>
    <xf numFmtId="0" fontId="32" fillId="0" borderId="11" xfId="0" applyFont="1" applyBorder="1"/>
    <xf numFmtId="0" fontId="32" fillId="0" borderId="0" xfId="0" applyFont="1"/>
    <xf numFmtId="2" fontId="44" fillId="4" borderId="11" xfId="0" applyNumberFormat="1" applyFont="1" applyFill="1" applyBorder="1"/>
    <xf numFmtId="0" fontId="32" fillId="4" borderId="11" xfId="0" applyFont="1" applyFill="1" applyBorder="1"/>
    <xf numFmtId="0" fontId="45" fillId="0" borderId="0" xfId="0" applyFont="1"/>
    <xf numFmtId="0" fontId="34" fillId="0" borderId="11" xfId="0" applyFont="1" applyBorder="1" applyAlignment="1">
      <alignment horizontal="left"/>
    </xf>
    <xf numFmtId="0" fontId="31" fillId="0" borderId="8" xfId="0" applyFont="1" applyBorder="1"/>
    <xf numFmtId="0" fontId="33" fillId="0" borderId="28" xfId="0" applyFont="1" applyBorder="1"/>
    <xf numFmtId="2" fontId="31" fillId="0" borderId="14" xfId="0" applyNumberFormat="1" applyFont="1" applyBorder="1"/>
    <xf numFmtId="2" fontId="31" fillId="0" borderId="20" xfId="0" applyNumberFormat="1" applyFont="1" applyBorder="1"/>
    <xf numFmtId="0" fontId="33" fillId="0" borderId="4" xfId="0" applyFont="1" applyBorder="1"/>
    <xf numFmtId="0" fontId="33" fillId="0" borderId="7" xfId="0" applyFont="1" applyBorder="1"/>
    <xf numFmtId="9" fontId="0" fillId="0" borderId="23" xfId="0" applyNumberFormat="1" applyBorder="1"/>
    <xf numFmtId="0" fontId="31" fillId="0" borderId="2" xfId="0" applyFont="1" applyFill="1" applyBorder="1"/>
    <xf numFmtId="2" fontId="0" fillId="0" borderId="29" xfId="0" applyNumberFormat="1" applyBorder="1"/>
    <xf numFmtId="9" fontId="0" fillId="0" borderId="24" xfId="0" applyNumberFormat="1" applyBorder="1"/>
    <xf numFmtId="0" fontId="30" fillId="0" borderId="23" xfId="0" applyFont="1" applyBorder="1"/>
    <xf numFmtId="2" fontId="31" fillId="2" borderId="12" xfId="0" applyNumberFormat="1" applyFont="1" applyFill="1" applyBorder="1"/>
    <xf numFmtId="2" fontId="31" fillId="2" borderId="18" xfId="0" applyNumberFormat="1" applyFont="1" applyFill="1" applyBorder="1"/>
    <xf numFmtId="9" fontId="31" fillId="2" borderId="23" xfId="0" applyNumberFormat="1" applyFont="1" applyFill="1" applyBorder="1"/>
    <xf numFmtId="2" fontId="31" fillId="2" borderId="8" xfId="0" applyNumberFormat="1" applyFont="1" applyFill="1" applyBorder="1"/>
    <xf numFmtId="2" fontId="31" fillId="2" borderId="30" xfId="0" applyNumberFormat="1" applyFont="1" applyFill="1" applyBorder="1"/>
    <xf numFmtId="9" fontId="31" fillId="2" borderId="31" xfId="0" applyNumberFormat="1" applyFont="1" applyFill="1" applyBorder="1"/>
    <xf numFmtId="2" fontId="33" fillId="0" borderId="8" xfId="0" applyNumberFormat="1" applyFont="1" applyFill="1" applyBorder="1"/>
    <xf numFmtId="2" fontId="33" fillId="0" borderId="10" xfId="0" applyNumberFormat="1" applyFont="1" applyBorder="1"/>
    <xf numFmtId="9" fontId="33" fillId="0" borderId="31" xfId="0" applyNumberFormat="1" applyFont="1" applyBorder="1"/>
    <xf numFmtId="0" fontId="33" fillId="0" borderId="32" xfId="0" applyFont="1" applyBorder="1"/>
    <xf numFmtId="0" fontId="0" fillId="0" borderId="33" xfId="0" applyBorder="1"/>
    <xf numFmtId="0" fontId="0" fillId="0" borderId="34" xfId="0" applyBorder="1"/>
    <xf numFmtId="0" fontId="33" fillId="0" borderId="16" xfId="0" applyFont="1" applyFill="1" applyBorder="1"/>
    <xf numFmtId="0" fontId="0" fillId="0" borderId="0" xfId="0" applyBorder="1"/>
    <xf numFmtId="0" fontId="0" fillId="0" borderId="35" xfId="0" applyBorder="1"/>
    <xf numFmtId="0" fontId="33" fillId="0" borderId="16" xfId="0" applyFont="1" applyBorder="1"/>
    <xf numFmtId="0" fontId="0" fillId="0" borderId="16" xfId="0" applyBorder="1"/>
    <xf numFmtId="0" fontId="31" fillId="0" borderId="16" xfId="0" applyFont="1" applyBorder="1"/>
    <xf numFmtId="0" fontId="33" fillId="0" borderId="0" xfId="0" applyFont="1" applyBorder="1"/>
    <xf numFmtId="0" fontId="46" fillId="0" borderId="16" xfId="0" applyFont="1" applyBorder="1"/>
    <xf numFmtId="0" fontId="0" fillId="0" borderId="36" xfId="0" applyBorder="1"/>
    <xf numFmtId="0" fontId="0" fillId="0" borderId="37" xfId="0" applyBorder="1"/>
    <xf numFmtId="0" fontId="0" fillId="0" borderId="38" xfId="0" applyBorder="1"/>
    <xf numFmtId="0" fontId="28" fillId="6" borderId="11" xfId="0" applyFont="1" applyFill="1" applyBorder="1" applyAlignment="1">
      <alignment horizontal="left" vertical="top"/>
    </xf>
    <xf numFmtId="0" fontId="28" fillId="6" borderId="11" xfId="0" applyFont="1" applyFill="1" applyBorder="1" applyAlignment="1">
      <alignment horizontal="left" vertical="top" wrapText="1"/>
    </xf>
    <xf numFmtId="0" fontId="28" fillId="0" borderId="10" xfId="0"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8" fillId="3" borderId="7" xfId="0" applyFont="1" applyFill="1" applyBorder="1" applyAlignment="1">
      <alignment horizontal="left"/>
    </xf>
    <xf numFmtId="0" fontId="28" fillId="3" borderId="5" xfId="0" applyFont="1" applyFill="1" applyBorder="1" applyAlignment="1">
      <alignment horizontal="left"/>
    </xf>
    <xf numFmtId="0" fontId="4" fillId="0" borderId="0" xfId="3" applyFont="1"/>
    <xf numFmtId="0" fontId="30" fillId="2" borderId="21" xfId="0" applyFont="1" applyFill="1" applyBorder="1" applyAlignment="1">
      <alignment horizontal="center" wrapText="1"/>
    </xf>
    <xf numFmtId="0" fontId="30" fillId="2" borderId="1" xfId="0" applyFont="1" applyFill="1" applyBorder="1" applyAlignment="1">
      <alignment horizontal="center" wrapText="1"/>
    </xf>
    <xf numFmtId="0" fontId="34" fillId="2" borderId="11" xfId="0" applyFont="1" applyFill="1" applyBorder="1" applyAlignment="1">
      <alignment horizontal="center" vertical="center"/>
    </xf>
    <xf numFmtId="2" fontId="31" fillId="2" borderId="11" xfId="0" applyNumberFormat="1" applyFont="1" applyFill="1" applyBorder="1" applyAlignment="1">
      <alignment vertical="center"/>
    </xf>
    <xf numFmtId="2" fontId="34" fillId="2" borderId="11" xfId="0" applyNumberFormat="1" applyFont="1" applyFill="1" applyBorder="1" applyAlignment="1">
      <alignment vertical="center"/>
    </xf>
    <xf numFmtId="2" fontId="34" fillId="2" borderId="11" xfId="0" applyNumberFormat="1" applyFont="1" applyFill="1" applyBorder="1" applyAlignment="1">
      <alignment horizontal="center"/>
    </xf>
    <xf numFmtId="0" fontId="33" fillId="2" borderId="26" xfId="0" applyFont="1" applyFill="1" applyBorder="1" applyAlignment="1">
      <alignment horizontal="left" wrapText="1"/>
    </xf>
    <xf numFmtId="0" fontId="33" fillId="2" borderId="25" xfId="0" applyFont="1" applyFill="1" applyBorder="1" applyAlignment="1">
      <alignment horizontal="left" wrapText="1"/>
    </xf>
    <xf numFmtId="0" fontId="33" fillId="2" borderId="27" xfId="0" applyFont="1" applyFill="1" applyBorder="1" applyAlignment="1">
      <alignment horizontal="left" wrapText="1"/>
    </xf>
    <xf numFmtId="0" fontId="33" fillId="0" borderId="26" xfId="0" applyFont="1" applyBorder="1" applyAlignment="1">
      <alignment horizontal="center"/>
    </xf>
    <xf numFmtId="0" fontId="33" fillId="0" borderId="25" xfId="0" applyFont="1" applyBorder="1" applyAlignment="1">
      <alignment horizontal="center"/>
    </xf>
    <xf numFmtId="0" fontId="33" fillId="0" borderId="27" xfId="0" applyFont="1" applyBorder="1" applyAlignment="1">
      <alignment horizontal="center"/>
    </xf>
    <xf numFmtId="2" fontId="30" fillId="2" borderId="11" xfId="0" applyNumberFormat="1" applyFont="1" applyFill="1" applyBorder="1" applyAlignment="1">
      <alignment vertical="center"/>
    </xf>
    <xf numFmtId="165" fontId="30" fillId="6" borderId="14" xfId="4" applyFont="1" applyFill="1" applyBorder="1" applyAlignment="1">
      <alignment horizontal="left"/>
    </xf>
    <xf numFmtId="165" fontId="30" fillId="6" borderId="17" xfId="4" applyFont="1" applyFill="1" applyBorder="1" applyAlignment="1">
      <alignment horizontal="left"/>
    </xf>
    <xf numFmtId="164" fontId="30" fillId="6" borderId="14" xfId="3" applyNumberFormat="1" applyFont="1" applyFill="1" applyBorder="1" applyAlignment="1">
      <alignment horizontal="left"/>
    </xf>
    <xf numFmtId="164" fontId="30" fillId="6" borderId="17" xfId="3" applyNumberFormat="1" applyFont="1" applyFill="1" applyBorder="1" applyAlignment="1">
      <alignment horizontal="left"/>
    </xf>
    <xf numFmtId="164" fontId="30" fillId="6" borderId="14" xfId="3" applyNumberFormat="1" applyFont="1" applyFill="1" applyBorder="1" applyAlignment="1">
      <alignment horizontal="left" wrapText="1"/>
    </xf>
    <xf numFmtId="164" fontId="30" fillId="6" borderId="17" xfId="3" applyNumberFormat="1" applyFont="1" applyFill="1" applyBorder="1" applyAlignment="1">
      <alignment horizontal="left" wrapText="1"/>
    </xf>
    <xf numFmtId="1" fontId="30" fillId="6" borderId="14" xfId="4" applyNumberFormat="1" applyFont="1" applyFill="1" applyBorder="1" applyAlignment="1">
      <alignment horizontal="left"/>
    </xf>
    <xf numFmtId="1" fontId="30" fillId="6" borderId="17" xfId="4" applyNumberFormat="1" applyFont="1" applyFill="1" applyBorder="1" applyAlignment="1">
      <alignment horizontal="left"/>
    </xf>
    <xf numFmtId="49" fontId="30" fillId="6" borderId="10" xfId="0" applyNumberFormat="1" applyFont="1" applyFill="1" applyBorder="1" applyAlignment="1">
      <alignment horizontal="left" wrapText="1"/>
    </xf>
    <xf numFmtId="49" fontId="30" fillId="6" borderId="6" xfId="0" applyNumberFormat="1" applyFont="1" applyFill="1" applyBorder="1" applyAlignment="1">
      <alignment horizontal="left" wrapText="1"/>
    </xf>
    <xf numFmtId="0" fontId="30" fillId="6" borderId="14" xfId="0" applyFont="1" applyFill="1" applyBorder="1" applyAlignment="1">
      <alignment horizontal="left" wrapText="1"/>
    </xf>
    <xf numFmtId="0" fontId="30" fillId="6" borderId="17" xfId="0" applyFont="1" applyFill="1" applyBorder="1" applyAlignment="1">
      <alignment horizontal="left" wrapText="1"/>
    </xf>
    <xf numFmtId="0" fontId="30" fillId="6" borderId="10" xfId="0" applyFont="1" applyFill="1" applyBorder="1" applyAlignment="1">
      <alignment horizontal="left"/>
    </xf>
    <xf numFmtId="0" fontId="30" fillId="6" borderId="6" xfId="0" applyFont="1" applyFill="1" applyBorder="1" applyAlignment="1">
      <alignment horizontal="left"/>
    </xf>
    <xf numFmtId="0" fontId="30" fillId="6" borderId="10" xfId="0" applyFont="1" applyFill="1" applyBorder="1" applyAlignment="1">
      <alignment horizontal="left" wrapText="1"/>
    </xf>
    <xf numFmtId="0" fontId="30" fillId="6" borderId="6" xfId="0" applyFont="1" applyFill="1" applyBorder="1" applyAlignment="1">
      <alignment horizontal="left" wrapText="1"/>
    </xf>
    <xf numFmtId="0" fontId="32" fillId="0" borderId="11" xfId="0" applyFont="1" applyBorder="1" applyAlignment="1">
      <alignment horizontal="left" vertical="center" wrapText="1"/>
    </xf>
    <xf numFmtId="0" fontId="34" fillId="0" borderId="11" xfId="0" applyFont="1" applyBorder="1" applyAlignment="1">
      <alignment horizontal="left"/>
    </xf>
    <xf numFmtId="0" fontId="33" fillId="0" borderId="14" xfId="0" applyFont="1" applyBorder="1" applyAlignment="1">
      <alignment horizontal="left"/>
    </xf>
    <xf numFmtId="0" fontId="33" fillId="0" borderId="18" xfId="0" applyFont="1" applyBorder="1" applyAlignment="1">
      <alignment horizontal="left"/>
    </xf>
    <xf numFmtId="0" fontId="33" fillId="0" borderId="17" xfId="0" applyFont="1" applyBorder="1" applyAlignment="1">
      <alignment horizontal="left"/>
    </xf>
    <xf numFmtId="0" fontId="30" fillId="6" borderId="20" xfId="0" applyFont="1" applyFill="1" applyBorder="1" applyAlignment="1">
      <alignment horizontal="left" wrapText="1"/>
    </xf>
    <xf numFmtId="0" fontId="30" fillId="6" borderId="7" xfId="0" applyFont="1" applyFill="1" applyBorder="1" applyAlignment="1">
      <alignment horizontal="left" wrapText="1"/>
    </xf>
    <xf numFmtId="0" fontId="30" fillId="6" borderId="9" xfId="0" applyFont="1" applyFill="1" applyBorder="1" applyAlignment="1">
      <alignment horizontal="left" wrapText="1"/>
    </xf>
    <xf numFmtId="0" fontId="30" fillId="6" borderId="5" xfId="0" applyFont="1" applyFill="1" applyBorder="1" applyAlignment="1">
      <alignment horizontal="left" wrapText="1"/>
    </xf>
    <xf numFmtId="0" fontId="32" fillId="0" borderId="11" xfId="0" applyFont="1" applyBorder="1" applyAlignment="1">
      <alignment horizontal="left" wrapText="1"/>
    </xf>
    <xf numFmtId="0" fontId="34" fillId="0" borderId="10" xfId="0" applyFont="1" applyBorder="1" applyAlignment="1">
      <alignment horizontal="left"/>
    </xf>
    <xf numFmtId="0" fontId="35" fillId="0" borderId="11" xfId="0" applyFont="1" applyBorder="1" applyAlignment="1">
      <alignment horizontal="center"/>
    </xf>
    <xf numFmtId="0" fontId="30" fillId="6" borderId="14" xfId="0" applyFont="1" applyFill="1" applyBorder="1" applyAlignment="1">
      <alignment horizontal="center"/>
    </xf>
    <xf numFmtId="0" fontId="30" fillId="6" borderId="18" xfId="0" applyFont="1" applyFill="1" applyBorder="1" applyAlignment="1">
      <alignment horizontal="center"/>
    </xf>
    <xf numFmtId="0" fontId="30" fillId="6" borderId="17" xfId="0" applyFont="1" applyFill="1" applyBorder="1" applyAlignment="1">
      <alignment horizontal="center"/>
    </xf>
    <xf numFmtId="0" fontId="30" fillId="4" borderId="14" xfId="4" applyNumberFormat="1" applyFont="1" applyFill="1" applyBorder="1" applyAlignment="1">
      <alignment horizontal="left"/>
    </xf>
    <xf numFmtId="0" fontId="30" fillId="4" borderId="17" xfId="4" applyNumberFormat="1" applyFont="1" applyFill="1" applyBorder="1" applyAlignment="1">
      <alignment horizontal="left"/>
    </xf>
    <xf numFmtId="0" fontId="30" fillId="4" borderId="14" xfId="0" applyFont="1" applyFill="1" applyBorder="1" applyAlignment="1">
      <alignment horizontal="left" vertical="top"/>
    </xf>
    <xf numFmtId="0" fontId="30" fillId="4" borderId="17" xfId="0" applyFont="1" applyFill="1" applyBorder="1" applyAlignment="1">
      <alignment horizontal="left" vertical="top"/>
    </xf>
    <xf numFmtId="0" fontId="44" fillId="6" borderId="14" xfId="0" applyFont="1" applyFill="1" applyBorder="1" applyAlignment="1">
      <alignment horizontal="left"/>
    </xf>
    <xf numFmtId="0" fontId="44" fillId="6" borderId="17" xfId="0" applyFont="1" applyFill="1" applyBorder="1" applyAlignment="1">
      <alignment horizontal="left"/>
    </xf>
    <xf numFmtId="0" fontId="33" fillId="6" borderId="14" xfId="0" applyFont="1" applyFill="1" applyBorder="1" applyAlignment="1">
      <alignment horizontal="left"/>
    </xf>
    <xf numFmtId="0" fontId="33" fillId="6" borderId="17" xfId="0" applyFont="1" applyFill="1" applyBorder="1" applyAlignment="1">
      <alignment horizontal="left"/>
    </xf>
    <xf numFmtId="0" fontId="31" fillId="6" borderId="17" xfId="0" applyFont="1" applyFill="1" applyBorder="1" applyAlignment="1">
      <alignment horizontal="left"/>
    </xf>
    <xf numFmtId="0" fontId="31" fillId="0" borderId="14" xfId="0" applyFont="1" applyBorder="1" applyAlignment="1">
      <alignment horizontal="left" wrapText="1"/>
    </xf>
    <xf numFmtId="0" fontId="31" fillId="0" borderId="18" xfId="0" applyFont="1" applyBorder="1" applyAlignment="1">
      <alignment horizontal="left" wrapText="1"/>
    </xf>
    <xf numFmtId="0" fontId="31" fillId="0" borderId="17" xfId="0" applyFont="1" applyBorder="1" applyAlignment="1">
      <alignment horizontal="left" wrapText="1"/>
    </xf>
    <xf numFmtId="0" fontId="33" fillId="4" borderId="14" xfId="0" applyFont="1" applyFill="1" applyBorder="1" applyAlignment="1">
      <alignment horizontal="left"/>
    </xf>
    <xf numFmtId="0" fontId="33" fillId="4" borderId="18" xfId="0" applyFont="1" applyFill="1" applyBorder="1" applyAlignment="1">
      <alignment horizontal="left"/>
    </xf>
    <xf numFmtId="0" fontId="33" fillId="4" borderId="17" xfId="0" applyFont="1" applyFill="1" applyBorder="1" applyAlignment="1">
      <alignment horizontal="left"/>
    </xf>
    <xf numFmtId="0" fontId="33" fillId="6" borderId="14" xfId="0" applyFont="1" applyFill="1" applyBorder="1" applyAlignment="1">
      <alignment horizontal="left" wrapText="1"/>
    </xf>
    <xf numFmtId="0" fontId="33" fillId="6" borderId="17" xfId="0" applyFont="1" applyFill="1" applyBorder="1" applyAlignment="1">
      <alignment horizontal="left" wrapText="1"/>
    </xf>
    <xf numFmtId="0" fontId="33" fillId="6" borderId="18" xfId="0" applyFont="1" applyFill="1" applyBorder="1" applyAlignment="1">
      <alignment horizontal="left"/>
    </xf>
    <xf numFmtId="2" fontId="33" fillId="6" borderId="14" xfId="0" applyNumberFormat="1" applyFont="1" applyFill="1" applyBorder="1" applyAlignment="1">
      <alignment horizontal="left"/>
    </xf>
    <xf numFmtId="2" fontId="33" fillId="6" borderId="17" xfId="0" applyNumberFormat="1" applyFont="1" applyFill="1" applyBorder="1" applyAlignment="1">
      <alignment horizontal="left"/>
    </xf>
    <xf numFmtId="2" fontId="33" fillId="6" borderId="14" xfId="0" applyNumberFormat="1" applyFont="1" applyFill="1" applyBorder="1" applyAlignment="1">
      <alignment horizontal="left" wrapText="1"/>
    </xf>
    <xf numFmtId="2" fontId="33" fillId="6" borderId="17" xfId="0" applyNumberFormat="1" applyFont="1" applyFill="1" applyBorder="1" applyAlignment="1">
      <alignment horizontal="left" wrapText="1"/>
    </xf>
    <xf numFmtId="2" fontId="30" fillId="6" borderId="14" xfId="0" applyNumberFormat="1" applyFont="1" applyFill="1" applyBorder="1" applyAlignment="1">
      <alignment horizontal="left" wrapText="1"/>
    </xf>
    <xf numFmtId="2" fontId="30" fillId="6" borderId="17" xfId="0" applyNumberFormat="1" applyFont="1" applyFill="1" applyBorder="1" applyAlignment="1">
      <alignment horizontal="left" wrapText="1"/>
    </xf>
    <xf numFmtId="2" fontId="30" fillId="6" borderId="18" xfId="0" applyNumberFormat="1" applyFont="1" applyFill="1" applyBorder="1" applyAlignment="1">
      <alignment horizontal="left" wrapText="1"/>
    </xf>
    <xf numFmtId="0" fontId="30" fillId="6" borderId="14" xfId="0" applyFont="1" applyFill="1" applyBorder="1" applyAlignment="1">
      <alignment horizontal="left" vertical="top" wrapText="1"/>
    </xf>
    <xf numFmtId="0" fontId="30" fillId="6" borderId="18" xfId="0" applyFont="1" applyFill="1" applyBorder="1" applyAlignment="1">
      <alignment horizontal="left" vertical="top" wrapText="1"/>
    </xf>
    <xf numFmtId="0" fontId="30" fillId="6" borderId="17" xfId="0" applyFont="1" applyFill="1" applyBorder="1" applyAlignment="1">
      <alignment horizontal="left" vertical="top" wrapText="1"/>
    </xf>
    <xf numFmtId="0" fontId="30" fillId="6" borderId="14" xfId="0" applyFont="1" applyFill="1" applyBorder="1" applyAlignment="1">
      <alignment horizontal="left" vertical="top"/>
    </xf>
    <xf numFmtId="0" fontId="30" fillId="6" borderId="18" xfId="0" applyFont="1" applyFill="1" applyBorder="1" applyAlignment="1">
      <alignment horizontal="left" vertical="top"/>
    </xf>
    <xf numFmtId="0" fontId="30" fillId="6" borderId="17" xfId="0" applyFont="1" applyFill="1" applyBorder="1" applyAlignment="1">
      <alignment horizontal="left" vertical="top"/>
    </xf>
    <xf numFmtId="0" fontId="31" fillId="0" borderId="11" xfId="0" applyFont="1" applyBorder="1" applyAlignment="1">
      <alignment horizontal="center"/>
    </xf>
    <xf numFmtId="0" fontId="30" fillId="6" borderId="14" xfId="0" applyFont="1" applyFill="1" applyBorder="1" applyAlignment="1">
      <alignment horizontal="center" wrapText="1"/>
    </xf>
    <xf numFmtId="0" fontId="30" fillId="6" borderId="17" xfId="0" applyFont="1" applyFill="1" applyBorder="1" applyAlignment="1">
      <alignment horizontal="center" wrapText="1"/>
    </xf>
    <xf numFmtId="0" fontId="30" fillId="6" borderId="14" xfId="0" applyFont="1" applyFill="1" applyBorder="1" applyAlignment="1">
      <alignment horizontal="left"/>
    </xf>
    <xf numFmtId="0" fontId="30" fillId="6" borderId="17" xfId="0" applyFont="1" applyFill="1" applyBorder="1" applyAlignment="1">
      <alignment horizontal="left"/>
    </xf>
  </cellXfs>
  <cellStyles count="8">
    <cellStyle name="Comma" xfId="1" builtinId="3"/>
    <cellStyle name="Comma 2" xfId="4" xr:uid="{00000000-0005-0000-0000-000001000000}"/>
    <cellStyle name="Currency 2" xfId="5" xr:uid="{00000000-0005-0000-0000-000003000000}"/>
    <cellStyle name="Hyperlink" xfId="7" builtinId="8" hidden="1"/>
    <cellStyle name="Normal" xfId="0" builtinId="0"/>
    <cellStyle name="Normal 2 2" xfId="3" xr:uid="{00000000-0005-0000-0000-000006000000}"/>
    <cellStyle name="Normal 5" xfId="2" xr:uid="{00000000-0005-0000-0000-000007000000}"/>
    <cellStyle name="Percent 2"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Annual Incremental Costs (USD)</a:t>
            </a:r>
          </a:p>
        </c:rich>
      </c:tx>
      <c:overlay val="0"/>
      <c:spPr>
        <a:noFill/>
        <a:ln w="12700">
          <a:solidFill>
            <a:schemeClr val="tx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Summary!$W$17</c:f>
              <c:strCache>
                <c:ptCount val="1"/>
                <c:pt idx="0">
                  <c:v>USD</c:v>
                </c:pt>
              </c:strCache>
            </c:strRef>
          </c:tx>
          <c:spPr>
            <a:solidFill>
              <a:schemeClr val="accent1"/>
            </a:solidFill>
            <a:ln w="12700">
              <a:solidFill>
                <a:schemeClr val="tx1"/>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Summary!$V$18:$V$27</c:f>
              <c:strCache>
                <c:ptCount val="10"/>
                <c:pt idx="0">
                  <c:v>Micro-planning</c:v>
                </c:pt>
                <c:pt idx="1">
                  <c:v>In-person training</c:v>
                </c:pt>
                <c:pt idx="2">
                  <c:v>Online refresher training</c:v>
                </c:pt>
                <c:pt idx="3">
                  <c:v>Equipment</c:v>
                </c:pt>
                <c:pt idx="4">
                  <c:v>Transportation</c:v>
                </c:pt>
                <c:pt idx="5">
                  <c:v>Communication</c:v>
                </c:pt>
                <c:pt idx="6">
                  <c:v>Coverhead (Electricity, Utilities)</c:v>
                </c:pt>
                <c:pt idx="7">
                  <c:v>Personnel</c:v>
                </c:pt>
                <c:pt idx="8">
                  <c:v>Lab, stationery, supplies</c:v>
                </c:pt>
                <c:pt idx="9">
                  <c:v>Total costs</c:v>
                </c:pt>
              </c:strCache>
            </c:strRef>
          </c:cat>
          <c:val>
            <c:numRef>
              <c:f>Summary!$W$18:$W$27</c:f>
              <c:numCache>
                <c:formatCode>0.00</c:formatCode>
                <c:ptCount val="10"/>
                <c:pt idx="0">
                  <c:v>7.3639951261299865</c:v>
                </c:pt>
                <c:pt idx="1">
                  <c:v>0.77883693684098421</c:v>
                </c:pt>
                <c:pt idx="2">
                  <c:v>0.51740915384540909</c:v>
                </c:pt>
                <c:pt idx="3">
                  <c:v>10.817477771418359</c:v>
                </c:pt>
                <c:pt idx="4">
                  <c:v>1.5509899685001984</c:v>
                </c:pt>
                <c:pt idx="5">
                  <c:v>0.84996304508499643</c:v>
                </c:pt>
                <c:pt idx="6">
                  <c:v>2.4058107603341146</c:v>
                </c:pt>
                <c:pt idx="7">
                  <c:v>291.34554938131095</c:v>
                </c:pt>
                <c:pt idx="8">
                  <c:v>82.712768662232065</c:v>
                </c:pt>
                <c:pt idx="9">
                  <c:v>398.34280080569704</c:v>
                </c:pt>
              </c:numCache>
            </c:numRef>
          </c:val>
          <c:extLst>
            <c:ext xmlns:c16="http://schemas.microsoft.com/office/drawing/2014/chart" uri="{C3380CC4-5D6E-409C-BE32-E72D297353CC}">
              <c16:uniqueId val="{00000000-A3AD-4FF2-9DCA-F8EBB51F38A3}"/>
            </c:ext>
          </c:extLst>
        </c:ser>
        <c:dLbls>
          <c:dLblPos val="outEnd"/>
          <c:showLegendKey val="0"/>
          <c:showVal val="1"/>
          <c:showCatName val="0"/>
          <c:showSerName val="0"/>
          <c:showPercent val="0"/>
          <c:showBubbleSize val="0"/>
        </c:dLbls>
        <c:gapWidth val="182"/>
        <c:axId val="1315415808"/>
        <c:axId val="1814050624"/>
        <c:extLst>
          <c:ext xmlns:c15="http://schemas.microsoft.com/office/drawing/2012/chart" uri="{02D57815-91ED-43cb-92C2-25804820EDAC}">
            <c15:filteredBarSeries>
              <c15:ser>
                <c:idx val="1"/>
                <c:order val="1"/>
                <c:tx>
                  <c:strRef>
                    <c:extLst>
                      <c:ext uri="{02D57815-91ED-43cb-92C2-25804820EDAC}">
                        <c15:formulaRef>
                          <c15:sqref>Summary!$X$17</c15:sqref>
                        </c15:formulaRef>
                      </c:ext>
                    </c:extLst>
                    <c:strCache>
                      <c:ptCount val="1"/>
                      <c:pt idx="0">
                        <c: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Summary!$V$18:$V$27</c15:sqref>
                        </c15:formulaRef>
                      </c:ext>
                    </c:extLst>
                    <c:strCache>
                      <c:ptCount val="10"/>
                      <c:pt idx="0">
                        <c:v>Micro-planning</c:v>
                      </c:pt>
                      <c:pt idx="1">
                        <c:v>In-person training</c:v>
                      </c:pt>
                      <c:pt idx="2">
                        <c:v>Online refresher training</c:v>
                      </c:pt>
                      <c:pt idx="3">
                        <c:v>Equipment</c:v>
                      </c:pt>
                      <c:pt idx="4">
                        <c:v>Transportation</c:v>
                      </c:pt>
                      <c:pt idx="5">
                        <c:v>Communication</c:v>
                      </c:pt>
                      <c:pt idx="6">
                        <c:v>Coverhead (Electricity, Utilities)</c:v>
                      </c:pt>
                      <c:pt idx="7">
                        <c:v>Personnel</c:v>
                      </c:pt>
                      <c:pt idx="8">
                        <c:v>Lab, stationery, supplies</c:v>
                      </c:pt>
                      <c:pt idx="9">
                        <c:v>Total costs</c:v>
                      </c:pt>
                    </c:strCache>
                  </c:strRef>
                </c:cat>
                <c:val>
                  <c:numRef>
                    <c:extLst>
                      <c:ext uri="{02D57815-91ED-43cb-92C2-25804820EDAC}">
                        <c15:formulaRef>
                          <c15:sqref>Summary!$X$18:$X$27</c15:sqref>
                        </c15:formulaRef>
                      </c:ext>
                    </c:extLst>
                    <c:numCache>
                      <c:formatCode>0%</c:formatCode>
                      <c:ptCount val="10"/>
                      <c:pt idx="0">
                        <c:v>1.8410498731078973E-2</c:v>
                      </c:pt>
                      <c:pt idx="1">
                        <c:v>1.9471463779965666E-3</c:v>
                      </c:pt>
                      <c:pt idx="2">
                        <c:v>1.2935587825851317E-3</c:v>
                      </c:pt>
                      <c:pt idx="3">
                        <c:v>3.1159805814132639E-2</c:v>
                      </c:pt>
                      <c:pt idx="4">
                        <c:v>3.8775825293077583E-3</c:v>
                      </c:pt>
                      <c:pt idx="5">
                        <c:v>2.1249665833531035E-3</c:v>
                      </c:pt>
                      <c:pt idx="6">
                        <c:v>6.0146938165647999E-3</c:v>
                      </c:pt>
                      <c:pt idx="7">
                        <c:v>0.72838408707760616</c:v>
                      </c:pt>
                      <c:pt idx="8">
                        <c:v>0.20678766028737489</c:v>
                      </c:pt>
                      <c:pt idx="9">
                        <c:v>1</c:v>
                      </c:pt>
                    </c:numCache>
                  </c:numRef>
                </c:val>
                <c:extLst>
                  <c:ext xmlns:c16="http://schemas.microsoft.com/office/drawing/2014/chart" uri="{C3380CC4-5D6E-409C-BE32-E72D297353CC}">
                    <c16:uniqueId val="{00000001-A3AD-4FF2-9DCA-F8EBB51F38A3}"/>
                  </c:ext>
                </c:extLst>
              </c15:ser>
            </c15:filteredBarSeries>
          </c:ext>
        </c:extLst>
      </c:barChart>
      <c:catAx>
        <c:axId val="131541580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HCV</a:t>
                </a:r>
                <a:r>
                  <a:rPr lang="en-US" baseline="0"/>
                  <a:t> Inputs</a:t>
                </a:r>
                <a:endParaRPr lang="en-US"/>
              </a:p>
            </c:rich>
          </c:tx>
          <c:overlay val="0"/>
          <c:spPr>
            <a:noFill/>
            <a:ln w="12700">
              <a:solidFill>
                <a:schemeClr val="tx1"/>
              </a:solid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4050624"/>
        <c:crosses val="autoZero"/>
        <c:auto val="1"/>
        <c:lblAlgn val="ctr"/>
        <c:lblOffset val="100"/>
        <c:noMultiLvlLbl val="0"/>
      </c:catAx>
      <c:valAx>
        <c:axId val="18140506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Costs (USD)</a:t>
                </a:r>
              </a:p>
            </c:rich>
          </c:tx>
          <c:overlay val="0"/>
          <c:spPr>
            <a:noFill/>
            <a:ln w="12700">
              <a:solidFill>
                <a:schemeClr val="tx1"/>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5415808"/>
        <c:crosses val="autoZero"/>
        <c:crossBetween val="between"/>
      </c:valAx>
      <c:spPr>
        <a:noFill/>
        <a:ln>
          <a:noFill/>
        </a:ln>
        <a:effectLst/>
      </c:spPr>
    </c:plotArea>
    <c:legend>
      <c:legendPos val="r"/>
      <c:overlay val="0"/>
      <c:spPr>
        <a:noFill/>
        <a:ln w="12700">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Annual Incremental Costs</a:t>
            </a:r>
            <a:r>
              <a:rPr lang="en-US" baseline="0"/>
              <a:t> </a:t>
            </a:r>
            <a:r>
              <a:rPr lang="en-US"/>
              <a:t>(USD)</a:t>
            </a:r>
          </a:p>
        </c:rich>
      </c:tx>
      <c:overlay val="0"/>
      <c:spPr>
        <a:noFill/>
        <a:ln w="12700">
          <a:solidFill>
            <a:schemeClr val="tx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Summary!$W$5</c:f>
              <c:strCache>
                <c:ptCount val="1"/>
                <c:pt idx="0">
                  <c:v>USD</c:v>
                </c:pt>
              </c:strCache>
            </c:strRef>
          </c:tx>
          <c:spPr>
            <a:solidFill>
              <a:schemeClr val="accent1"/>
            </a:solidFill>
            <a:ln w="12700">
              <a:solidFill>
                <a:schemeClr val="tx1"/>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Summary!$V$6:$V$15</c:f>
              <c:strCache>
                <c:ptCount val="10"/>
                <c:pt idx="0">
                  <c:v>Micro-planning </c:v>
                </c:pt>
                <c:pt idx="1">
                  <c:v>In-Person Initial Training</c:v>
                </c:pt>
                <c:pt idx="2">
                  <c:v>Online Refresher Training</c:v>
                </c:pt>
                <c:pt idx="3">
                  <c:v>Equipment</c:v>
                </c:pt>
                <c:pt idx="4">
                  <c:v>Transportation </c:v>
                </c:pt>
                <c:pt idx="5">
                  <c:v>Communication</c:v>
                </c:pt>
                <c:pt idx="6">
                  <c:v>Overhead (Electricity, Utilities)</c:v>
                </c:pt>
                <c:pt idx="7">
                  <c:v>Personnel </c:v>
                </c:pt>
                <c:pt idx="8">
                  <c:v>Lab, Stationery, Supplies</c:v>
                </c:pt>
                <c:pt idx="9">
                  <c:v>Total costs</c:v>
                </c:pt>
              </c:strCache>
            </c:strRef>
          </c:cat>
          <c:val>
            <c:numRef>
              <c:f>Summary!$W$6:$W$15</c:f>
              <c:numCache>
                <c:formatCode>0.00</c:formatCode>
                <c:ptCount val="10"/>
                <c:pt idx="0">
                  <c:v>905.77</c:v>
                </c:pt>
                <c:pt idx="1">
                  <c:v>95.8</c:v>
                </c:pt>
                <c:pt idx="2">
                  <c:v>63.64</c:v>
                </c:pt>
                <c:pt idx="3">
                  <c:v>1330.55</c:v>
                </c:pt>
                <c:pt idx="4">
                  <c:v>190.77</c:v>
                </c:pt>
                <c:pt idx="5">
                  <c:v>104.55</c:v>
                </c:pt>
                <c:pt idx="6">
                  <c:v>295.91000000000003</c:v>
                </c:pt>
                <c:pt idx="7">
                  <c:v>35835.5</c:v>
                </c:pt>
                <c:pt idx="8">
                  <c:v>10173.67</c:v>
                </c:pt>
                <c:pt idx="9">
                  <c:v>48996.159999999996</c:v>
                </c:pt>
              </c:numCache>
            </c:numRef>
          </c:val>
          <c:extLst>
            <c:ext xmlns:c16="http://schemas.microsoft.com/office/drawing/2014/chart" uri="{C3380CC4-5D6E-409C-BE32-E72D297353CC}">
              <c16:uniqueId val="{00000000-4D88-4A36-BB38-2864BE423E64}"/>
            </c:ext>
          </c:extLst>
        </c:ser>
        <c:dLbls>
          <c:dLblPos val="outEnd"/>
          <c:showLegendKey val="0"/>
          <c:showVal val="1"/>
          <c:showCatName val="0"/>
          <c:showSerName val="0"/>
          <c:showPercent val="0"/>
          <c:showBubbleSize val="0"/>
        </c:dLbls>
        <c:gapWidth val="182"/>
        <c:axId val="1937950640"/>
        <c:axId val="1937951120"/>
        <c:extLst>
          <c:ext xmlns:c15="http://schemas.microsoft.com/office/drawing/2012/chart" uri="{02D57815-91ED-43cb-92C2-25804820EDAC}">
            <c15:filteredBarSeries>
              <c15:ser>
                <c:idx val="1"/>
                <c:order val="1"/>
                <c:tx>
                  <c:strRef>
                    <c:extLst>
                      <c:ext uri="{02D57815-91ED-43cb-92C2-25804820EDAC}">
                        <c15:formulaRef>
                          <c15:sqref>Summary!$X$5</c15:sqref>
                        </c15:formulaRef>
                      </c:ext>
                    </c:extLst>
                    <c:strCache>
                      <c:ptCount val="1"/>
                      <c:pt idx="0">
                        <c:v>Cost drivers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Summary!$V$6:$V$15</c15:sqref>
                        </c15:formulaRef>
                      </c:ext>
                    </c:extLst>
                    <c:strCache>
                      <c:ptCount val="10"/>
                      <c:pt idx="0">
                        <c:v>Micro-planning </c:v>
                      </c:pt>
                      <c:pt idx="1">
                        <c:v>In-Person Initial Training</c:v>
                      </c:pt>
                      <c:pt idx="2">
                        <c:v>Online Refresher Training</c:v>
                      </c:pt>
                      <c:pt idx="3">
                        <c:v>Equipment</c:v>
                      </c:pt>
                      <c:pt idx="4">
                        <c:v>Transportation </c:v>
                      </c:pt>
                      <c:pt idx="5">
                        <c:v>Communication</c:v>
                      </c:pt>
                      <c:pt idx="6">
                        <c:v>Overhead (Electricity, Utilities)</c:v>
                      </c:pt>
                      <c:pt idx="7">
                        <c:v>Personnel </c:v>
                      </c:pt>
                      <c:pt idx="8">
                        <c:v>Lab, Stationery, Supplies</c:v>
                      </c:pt>
                      <c:pt idx="9">
                        <c:v>Total costs</c:v>
                      </c:pt>
                    </c:strCache>
                  </c:strRef>
                </c:cat>
                <c:val>
                  <c:numRef>
                    <c:extLst>
                      <c:ext uri="{02D57815-91ED-43cb-92C2-25804820EDAC}">
                        <c15:formulaRef>
                          <c15:sqref>Summary!$X$6:$X$15</c15:sqref>
                        </c15:formulaRef>
                      </c:ext>
                    </c:extLst>
                    <c:numCache>
                      <c:formatCode>0%</c:formatCode>
                      <c:ptCount val="10"/>
                      <c:pt idx="0">
                        <c:v>1.8410498731078973E-2</c:v>
                      </c:pt>
                      <c:pt idx="1">
                        <c:v>1.9471463779965666E-3</c:v>
                      </c:pt>
                      <c:pt idx="2">
                        <c:v>1.2935587825851317E-3</c:v>
                      </c:pt>
                      <c:pt idx="3">
                        <c:v>3.1159805814132639E-2</c:v>
                      </c:pt>
                      <c:pt idx="4">
                        <c:v>3.8775825293077583E-3</c:v>
                      </c:pt>
                      <c:pt idx="5">
                        <c:v>2.1249665833531035E-3</c:v>
                      </c:pt>
                      <c:pt idx="6">
                        <c:v>6.0146938165647999E-3</c:v>
                      </c:pt>
                      <c:pt idx="7">
                        <c:v>0.72838408707760616</c:v>
                      </c:pt>
                      <c:pt idx="8">
                        <c:v>0.20678766028737489</c:v>
                      </c:pt>
                      <c:pt idx="9">
                        <c:v>1</c:v>
                      </c:pt>
                    </c:numCache>
                  </c:numRef>
                </c:val>
                <c:extLst>
                  <c:ext xmlns:c16="http://schemas.microsoft.com/office/drawing/2014/chart" uri="{C3380CC4-5D6E-409C-BE32-E72D297353CC}">
                    <c16:uniqueId val="{00000001-4D88-4A36-BB38-2864BE423E64}"/>
                  </c:ext>
                </c:extLst>
              </c15:ser>
            </c15:filteredBarSeries>
          </c:ext>
        </c:extLst>
      </c:barChart>
      <c:catAx>
        <c:axId val="193795064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HCV inputs</a:t>
                </a:r>
              </a:p>
            </c:rich>
          </c:tx>
          <c:overlay val="0"/>
          <c:spPr>
            <a:noFill/>
            <a:ln w="12700">
              <a:solidFill>
                <a:schemeClr val="tx1"/>
              </a:solid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951120"/>
        <c:crosses val="autoZero"/>
        <c:auto val="1"/>
        <c:lblAlgn val="ctr"/>
        <c:lblOffset val="100"/>
        <c:noMultiLvlLbl val="0"/>
      </c:catAx>
      <c:valAx>
        <c:axId val="193795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Costs (USD)</a:t>
                </a:r>
              </a:p>
            </c:rich>
          </c:tx>
          <c:overlay val="0"/>
          <c:spPr>
            <a:noFill/>
            <a:ln w="12700">
              <a:solidFill>
                <a:schemeClr val="tx1"/>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950640"/>
        <c:crosses val="autoZero"/>
        <c:crossBetween val="between"/>
      </c:valAx>
      <c:spPr>
        <a:noFill/>
        <a:ln>
          <a:noFill/>
        </a:ln>
        <a:effectLst/>
      </c:spPr>
    </c:plotArea>
    <c:legend>
      <c:legendPos val="r"/>
      <c:overlay val="0"/>
      <c:spPr>
        <a:noFill/>
        <a:ln w="12700">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Biggest Cost Drivers (%) </a:t>
            </a:r>
          </a:p>
        </c:rich>
      </c:tx>
      <c:overlay val="0"/>
      <c:spPr>
        <a:noFill/>
        <a:ln w="12700">
          <a:solidFill>
            <a:schemeClr val="tx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tx>
            <c:strRef>
              <c:f>Summary!$X$17</c:f>
              <c:strCache>
                <c:ptCount val="1"/>
                <c:pt idx="0">
                  <c:v>%</c:v>
                </c:pt>
              </c:strCache>
            </c:strRef>
          </c:tx>
          <c:spPr>
            <a:ln w="12700">
              <a:solidFill>
                <a:schemeClr val="tx1"/>
              </a:solidFill>
            </a:ln>
          </c:spPr>
          <c:dPt>
            <c:idx val="0"/>
            <c:bubble3D val="0"/>
            <c:spPr>
              <a:solidFill>
                <a:schemeClr val="accent1"/>
              </a:solidFill>
              <a:ln w="12700">
                <a:solidFill>
                  <a:schemeClr val="tx1"/>
                </a:solidFill>
              </a:ln>
              <a:effectLst/>
            </c:spPr>
            <c:extLst>
              <c:ext xmlns:c16="http://schemas.microsoft.com/office/drawing/2014/chart" uri="{C3380CC4-5D6E-409C-BE32-E72D297353CC}">
                <c16:uniqueId val="{00000001-05F3-4B15-AECC-1084FCCD01AB}"/>
              </c:ext>
            </c:extLst>
          </c:dPt>
          <c:dPt>
            <c:idx val="1"/>
            <c:bubble3D val="0"/>
            <c:spPr>
              <a:solidFill>
                <a:schemeClr val="accent2"/>
              </a:solidFill>
              <a:ln w="12700">
                <a:solidFill>
                  <a:schemeClr val="tx1"/>
                </a:solidFill>
              </a:ln>
              <a:effectLst/>
            </c:spPr>
            <c:extLst>
              <c:ext xmlns:c16="http://schemas.microsoft.com/office/drawing/2014/chart" uri="{C3380CC4-5D6E-409C-BE32-E72D297353CC}">
                <c16:uniqueId val="{00000003-05F3-4B15-AECC-1084FCCD01AB}"/>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Summary!$V$18:$V$27</c15:sqref>
                  </c15:fullRef>
                </c:ext>
              </c:extLst>
              <c:f>Summary!$V$25:$V$26</c:f>
              <c:strCache>
                <c:ptCount val="2"/>
                <c:pt idx="0">
                  <c:v>Personnel</c:v>
                </c:pt>
                <c:pt idx="1">
                  <c:v>Lab, stationery, supplies</c:v>
                </c:pt>
              </c:strCache>
            </c:strRef>
          </c:cat>
          <c:val>
            <c:numRef>
              <c:extLst>
                <c:ext xmlns:c15="http://schemas.microsoft.com/office/drawing/2012/chart" uri="{02D57815-91ED-43cb-92C2-25804820EDAC}">
                  <c15:fullRef>
                    <c15:sqref>Summary!$X$18:$X$27</c15:sqref>
                  </c15:fullRef>
                </c:ext>
              </c:extLst>
              <c:f>Summary!$X$25:$X$26</c:f>
              <c:numCache>
                <c:formatCode>0%</c:formatCode>
                <c:ptCount val="2"/>
                <c:pt idx="0">
                  <c:v>0.72838408707760616</c:v>
                </c:pt>
                <c:pt idx="1">
                  <c:v>0.20678766028737489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1-F043-4213-841F-177DB56AF416}"/>
            </c:ext>
          </c:extLst>
        </c:ser>
        <c:dLbls>
          <c:dLblPos val="bestFit"/>
          <c:showLegendKey val="0"/>
          <c:showVal val="1"/>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Summary!$W$17</c15:sqref>
                        </c15:formulaRef>
                      </c:ext>
                    </c:extLst>
                    <c:strCache>
                      <c:ptCount val="1"/>
                      <c:pt idx="0">
                        <c:v>USD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5-05F3-4B15-AECC-1084FCCD01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05F3-4B15-AECC-1084FCCD01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Summary!$V$18:$V$27</c15:sqref>
                        </c15:fullRef>
                        <c15:formulaRef>
                          <c15:sqref>Summary!$V$25:$V$26</c15:sqref>
                        </c15:formulaRef>
                      </c:ext>
                    </c:extLst>
                    <c:strCache>
                      <c:ptCount val="2"/>
                      <c:pt idx="0">
                        <c:v>Personnel</c:v>
                      </c:pt>
                      <c:pt idx="1">
                        <c:v>Lab, stationery, supplies</c:v>
                      </c:pt>
                    </c:strCache>
                  </c:strRef>
                </c:cat>
                <c:val>
                  <c:numRef>
                    <c:extLst>
                      <c:ext uri="{02D57815-91ED-43cb-92C2-25804820EDAC}">
                        <c15:fullRef>
                          <c15:sqref>Summary!$W$18:$W$27</c15:sqref>
                        </c15:fullRef>
                        <c15:formulaRef>
                          <c15:sqref>Summary!$W$25:$W$26</c15:sqref>
                        </c15:formulaRef>
                      </c:ext>
                    </c:extLst>
                    <c:numCache>
                      <c:formatCode>0.00</c:formatCode>
                      <c:ptCount val="2"/>
                      <c:pt idx="0">
                        <c:v>291.34554938131095</c:v>
                      </c:pt>
                      <c:pt idx="1">
                        <c:v>82.712768662232065</c:v>
                      </c:pt>
                    </c:numCache>
                  </c:numRef>
                </c:val>
                <c:extLst>
                  <c:ext uri="{02D57815-91ED-43cb-92C2-25804820EDAC}">
                    <c15:categoryFilterExceptions/>
                  </c:ext>
                  <c:ext xmlns:c16="http://schemas.microsoft.com/office/drawing/2014/chart" uri="{C3380CC4-5D6E-409C-BE32-E72D297353CC}">
                    <c16:uniqueId val="{00000000-F043-4213-841F-177DB56AF416}"/>
                  </c:ext>
                </c:extLst>
              </c15:ser>
            </c15:filteredPieSeries>
          </c:ext>
        </c:extLst>
      </c:pieChart>
      <c:spPr>
        <a:noFill/>
        <a:ln>
          <a:noFill/>
        </a:ln>
        <a:effectLst/>
      </c:spPr>
    </c:plotArea>
    <c:legend>
      <c:legendPos val="r"/>
      <c:overlay val="0"/>
      <c:spPr>
        <a:noFill/>
        <a:ln w="12700">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590548</xdr:colOff>
      <xdr:row>14</xdr:row>
      <xdr:rowOff>57148</xdr:rowOff>
    </xdr:from>
    <xdr:ext cx="180976" cy="76201"/>
    <xdr:sp macro="" textlink="">
      <xdr:nvSpPr>
        <xdr:cNvPr id="2" name="TextBox 1">
          <a:extLst>
            <a:ext uri="{FF2B5EF4-FFF2-40B4-BE49-F238E27FC236}">
              <a16:creationId xmlns:a16="http://schemas.microsoft.com/office/drawing/2014/main" id="{F76B5BDA-70C3-EE41-8308-A01E06E868E0}"/>
            </a:ext>
          </a:extLst>
        </xdr:cNvPr>
        <xdr:cNvSpPr txBox="1"/>
      </xdr:nvSpPr>
      <xdr:spPr>
        <a:xfrm flipH="1" flipV="1">
          <a:off x="3533773" y="2800348"/>
          <a:ext cx="180976" cy="76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21</xdr:col>
      <xdr:colOff>143804</xdr:colOff>
      <xdr:row>53</xdr:row>
      <xdr:rowOff>2776</xdr:rowOff>
    </xdr:from>
    <xdr:to>
      <xdr:col>24</xdr:col>
      <xdr:colOff>226818</xdr:colOff>
      <xdr:row>72</xdr:row>
      <xdr:rowOff>96400</xdr:rowOff>
    </xdr:to>
    <xdr:graphicFrame macro="">
      <xdr:nvGraphicFramePr>
        <xdr:cNvPr id="15" name="Chart 14">
          <a:extLst>
            <a:ext uri="{FF2B5EF4-FFF2-40B4-BE49-F238E27FC236}">
              <a16:creationId xmlns:a16="http://schemas.microsoft.com/office/drawing/2014/main" id="{717C1324-07EB-984D-6048-F14BEF1645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106866</xdr:colOff>
      <xdr:row>30</xdr:row>
      <xdr:rowOff>169583</xdr:rowOff>
    </xdr:from>
    <xdr:to>
      <xdr:col>24</xdr:col>
      <xdr:colOff>177180</xdr:colOff>
      <xdr:row>49</xdr:row>
      <xdr:rowOff>90053</xdr:rowOff>
    </xdr:to>
    <xdr:graphicFrame macro="">
      <xdr:nvGraphicFramePr>
        <xdr:cNvPr id="16" name="Chart 15">
          <a:extLst>
            <a:ext uri="{FF2B5EF4-FFF2-40B4-BE49-F238E27FC236}">
              <a16:creationId xmlns:a16="http://schemas.microsoft.com/office/drawing/2014/main" id="{138B6CF9-D876-0BA3-2D96-CB60E991AA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116391</xdr:colOff>
      <xdr:row>76</xdr:row>
      <xdr:rowOff>31672</xdr:rowOff>
    </xdr:from>
    <xdr:to>
      <xdr:col>24</xdr:col>
      <xdr:colOff>183530</xdr:colOff>
      <xdr:row>95</xdr:row>
      <xdr:rowOff>38325</xdr:rowOff>
    </xdr:to>
    <xdr:graphicFrame macro="">
      <xdr:nvGraphicFramePr>
        <xdr:cNvPr id="19" name="Chart 18">
          <a:extLst>
            <a:ext uri="{FF2B5EF4-FFF2-40B4-BE49-F238E27FC236}">
              <a16:creationId xmlns:a16="http://schemas.microsoft.com/office/drawing/2014/main" id="{160DADB0-A3F1-FFA2-4B86-27B04EC352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tlp\Downloads\MPH%20Thesis%20Cost%20Worksheet_Judy%20Machuka_8.6.2025_SM%20(1).xlsx" TargetMode="External"/><Relationship Id="rId1" Type="http://schemas.openxmlformats.org/officeDocument/2006/relationships/externalLinkPath" Target="file:///C:\Users\stlp\Downloads\MPH%20Thesis%20Cost%20Worksheet_Judy%20Machuka_8.6.2025_SM%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lp\Downloads\HCV%20TX%20Gilead%20co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of Forms"/>
      <sheetName val="Source Information"/>
      <sheetName val="Document Checklist"/>
      <sheetName val="Activities 2020-2021"/>
      <sheetName val="Summary"/>
      <sheetName val="Microplanning"/>
      <sheetName val="In-Person Initial Training"/>
      <sheetName val="Online Refresher Training "/>
      <sheetName val="Equip, Trans,OVHD"/>
      <sheetName val="T and M Personnel"/>
      <sheetName val="Personnel"/>
      <sheetName val="Lab_Stationery"/>
    </sheetNames>
    <sheetDataSet>
      <sheetData sheetId="0"/>
      <sheetData sheetId="1"/>
      <sheetData sheetId="2"/>
      <sheetData sheetId="3"/>
      <sheetData sheetId="4">
        <row r="7">
          <cell r="W7" t="str">
            <v xml:space="preserve">Micro-planning </v>
          </cell>
          <cell r="Y7">
            <v>1.8410498731078973E-2</v>
          </cell>
        </row>
        <row r="8">
          <cell r="W8" t="str">
            <v>In-Person Initial Training</v>
          </cell>
          <cell r="Y8">
            <v>1.9471463779965666E-3</v>
          </cell>
        </row>
        <row r="9">
          <cell r="W9" t="str">
            <v>Online Refresher Training</v>
          </cell>
          <cell r="Y9">
            <v>1.2935587825851317E-3</v>
          </cell>
        </row>
        <row r="10">
          <cell r="W10" t="str">
            <v>Equipment</v>
          </cell>
          <cell r="Y10">
            <v>3.1159805814132639E-2</v>
          </cell>
        </row>
        <row r="11">
          <cell r="W11" t="str">
            <v xml:space="preserve">Transportation </v>
          </cell>
          <cell r="Y11">
            <v>3.8775825293077583E-3</v>
          </cell>
        </row>
        <row r="12">
          <cell r="W12" t="str">
            <v>Communication</v>
          </cell>
          <cell r="Y12">
            <v>2.1249665833531035E-3</v>
          </cell>
        </row>
        <row r="13">
          <cell r="W13" t="str">
            <v>Overhead (Electricity, Utilities)</v>
          </cell>
          <cell r="Y13">
            <v>6.0146938165647999E-3</v>
          </cell>
        </row>
        <row r="14">
          <cell r="W14" t="str">
            <v xml:space="preserve">Personnel </v>
          </cell>
          <cell r="Y14">
            <v>0.72838408707760616</v>
          </cell>
        </row>
        <row r="15">
          <cell r="W15" t="str">
            <v>Lab, Stationery, Supplies</v>
          </cell>
          <cell r="Y15">
            <v>0.20678766028737489</v>
          </cell>
        </row>
      </sheetData>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forms"/>
      <sheetName val="Summary HCV TX"/>
      <sheetName val="Project outputs "/>
      <sheetName val="Document checklist"/>
      <sheetName val="Activities 2020-2022"/>
      <sheetName val="Sources of information "/>
      <sheetName val="Start1. MicroPlanning &amp; Prep"/>
      <sheetName val="Start2. MicroPlan &amp; Sys Improv"/>
      <sheetName val="Start3.Sensitization"/>
      <sheetName val="Start4. Initial Training"/>
      <sheetName val="General1. Personnel "/>
      <sheetName val="Implem 1. Refresh Training"/>
      <sheetName val="Implem. 2 Supplies"/>
      <sheetName val="Implem. 3 Equip,Transp,Overhead"/>
    </sheetNames>
    <sheetDataSet>
      <sheetData sheetId="0">
        <row r="1">
          <cell r="A1" t="str">
            <v xml:space="preserve">HCVTX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opLeftCell="A9" workbookViewId="0">
      <selection activeCell="A24" sqref="A24:XFD24"/>
    </sheetView>
  </sheetViews>
  <sheetFormatPr defaultColWidth="9.1796875" defaultRowHeight="12.5"/>
  <cols>
    <col min="1" max="1" width="44.81640625" style="11" customWidth="1"/>
    <col min="2" max="2" width="15.54296875" style="11" customWidth="1"/>
    <col min="3" max="3" width="20" style="11" customWidth="1"/>
    <col min="4" max="4" width="81.54296875" style="11" customWidth="1"/>
    <col min="5" max="5" width="12.26953125" style="11" bestFit="1" customWidth="1"/>
    <col min="6" max="6" width="10" style="11" customWidth="1"/>
    <col min="7" max="7" width="11.453125" style="11" customWidth="1"/>
    <col min="8" max="8" width="10" style="11" customWidth="1"/>
    <col min="9" max="16384" width="9.1796875" style="11"/>
  </cols>
  <sheetData>
    <row r="1" spans="1:9" ht="13">
      <c r="A1" s="15" t="s">
        <v>374</v>
      </c>
      <c r="B1" s="15"/>
      <c r="C1" s="15" t="s">
        <v>137</v>
      </c>
      <c r="D1" s="15" t="s">
        <v>232</v>
      </c>
      <c r="G1" s="7"/>
    </row>
    <row r="2" spans="1:9" ht="14.5">
      <c r="A2" s="117" t="s">
        <v>397</v>
      </c>
      <c r="B2" s="111"/>
      <c r="C2" s="111"/>
      <c r="D2" s="117"/>
      <c r="E2" s="8"/>
      <c r="F2" s="46"/>
      <c r="H2" s="8"/>
      <c r="I2" s="46"/>
    </row>
    <row r="3" spans="1:9" s="9" customFormat="1" ht="13.5" customHeight="1">
      <c r="A3" s="715" t="s">
        <v>138</v>
      </c>
      <c r="B3" s="716" t="s">
        <v>139</v>
      </c>
      <c r="C3" s="715" t="s">
        <v>140</v>
      </c>
      <c r="D3" s="715" t="s">
        <v>141</v>
      </c>
      <c r="G3" s="11"/>
    </row>
    <row r="4" spans="1:9" s="9" customFormat="1">
      <c r="A4" s="715"/>
      <c r="B4" s="716"/>
      <c r="C4" s="715"/>
      <c r="D4" s="715"/>
      <c r="G4" s="11"/>
    </row>
    <row r="5" spans="1:9" s="9" customFormat="1" ht="14">
      <c r="A5" s="64" t="s">
        <v>9</v>
      </c>
      <c r="B5" s="111"/>
      <c r="C5" s="111"/>
      <c r="D5" s="111"/>
      <c r="G5" s="11"/>
    </row>
    <row r="6" spans="1:9" s="9" customFormat="1" ht="14.5">
      <c r="A6" s="112" t="s">
        <v>142</v>
      </c>
      <c r="B6" s="107" t="s">
        <v>224</v>
      </c>
      <c r="C6" s="107" t="s">
        <v>225</v>
      </c>
      <c r="D6" s="107" t="s">
        <v>226</v>
      </c>
      <c r="G6" s="11"/>
    </row>
    <row r="7" spans="1:9" s="9" customFormat="1" ht="14.5">
      <c r="A7" s="112" t="s">
        <v>143</v>
      </c>
      <c r="B7" s="107" t="s">
        <v>224</v>
      </c>
      <c r="C7" s="107" t="s">
        <v>225</v>
      </c>
      <c r="D7" s="107" t="s">
        <v>226</v>
      </c>
      <c r="G7" s="11"/>
    </row>
    <row r="8" spans="1:9" s="9" customFormat="1" ht="14.5">
      <c r="A8" s="112" t="s">
        <v>144</v>
      </c>
      <c r="B8" s="107" t="s">
        <v>224</v>
      </c>
      <c r="C8" s="107" t="s">
        <v>225</v>
      </c>
      <c r="D8" s="107" t="s">
        <v>226</v>
      </c>
      <c r="G8" s="11"/>
    </row>
    <row r="9" spans="1:9" s="9" customFormat="1" ht="14.5">
      <c r="A9" s="112" t="s">
        <v>145</v>
      </c>
      <c r="B9" s="107" t="s">
        <v>224</v>
      </c>
      <c r="C9" s="107" t="s">
        <v>225</v>
      </c>
      <c r="D9" s="107" t="s">
        <v>226</v>
      </c>
      <c r="G9" s="11"/>
    </row>
    <row r="10" spans="1:9" s="9" customFormat="1" ht="14">
      <c r="A10" s="111"/>
      <c r="B10" s="113"/>
      <c r="C10" s="113"/>
      <c r="D10" s="107"/>
      <c r="G10" s="11"/>
    </row>
    <row r="11" spans="1:9" s="9" customFormat="1" ht="14">
      <c r="A11" s="65" t="s">
        <v>146</v>
      </c>
      <c r="B11" s="114"/>
      <c r="C11" s="107"/>
      <c r="D11" s="107"/>
      <c r="G11" s="11"/>
    </row>
    <row r="12" spans="1:9" s="9" customFormat="1" ht="14.5">
      <c r="A12" s="112" t="s">
        <v>188</v>
      </c>
      <c r="B12" s="114" t="s">
        <v>224</v>
      </c>
      <c r="C12" s="107" t="s">
        <v>225</v>
      </c>
      <c r="D12" s="107" t="s">
        <v>226</v>
      </c>
      <c r="G12" s="11"/>
    </row>
    <row r="13" spans="1:9" s="9" customFormat="1" ht="14.5">
      <c r="A13" s="112" t="s">
        <v>157</v>
      </c>
      <c r="B13" s="114" t="s">
        <v>224</v>
      </c>
      <c r="C13" s="107" t="s">
        <v>225</v>
      </c>
      <c r="D13" s="107" t="s">
        <v>226</v>
      </c>
    </row>
    <row r="14" spans="1:9" s="9" customFormat="1" ht="14.5">
      <c r="A14" s="112" t="s">
        <v>158</v>
      </c>
      <c r="B14" s="114" t="s">
        <v>224</v>
      </c>
      <c r="C14" s="107" t="s">
        <v>225</v>
      </c>
      <c r="D14" s="107" t="s">
        <v>226</v>
      </c>
    </row>
    <row r="15" spans="1:9" s="9" customFormat="1" ht="14">
      <c r="A15" s="105"/>
      <c r="B15" s="106"/>
      <c r="C15" s="106"/>
      <c r="D15" s="106"/>
    </row>
    <row r="16" spans="1:9" s="9" customFormat="1" ht="14">
      <c r="A16" s="65" t="s">
        <v>147</v>
      </c>
      <c r="B16" s="106"/>
      <c r="C16" s="106"/>
      <c r="D16" s="106"/>
    </row>
    <row r="17" spans="1:15" s="9" customFormat="1" ht="28">
      <c r="A17" s="105" t="s">
        <v>148</v>
      </c>
      <c r="B17" s="106" t="s">
        <v>224</v>
      </c>
      <c r="C17" s="106" t="s">
        <v>225</v>
      </c>
      <c r="D17" s="107" t="s">
        <v>226</v>
      </c>
    </row>
    <row r="18" spans="1:15" s="9" customFormat="1" ht="28">
      <c r="A18" s="105" t="s">
        <v>171</v>
      </c>
      <c r="B18" s="106" t="s">
        <v>224</v>
      </c>
      <c r="C18" s="106" t="s">
        <v>225</v>
      </c>
      <c r="D18" s="107" t="s">
        <v>226</v>
      </c>
    </row>
    <row r="19" spans="1:15" s="9" customFormat="1" ht="28">
      <c r="A19" s="105" t="s">
        <v>149</v>
      </c>
      <c r="B19" s="106" t="s">
        <v>224</v>
      </c>
      <c r="C19" s="106" t="s">
        <v>225</v>
      </c>
      <c r="D19" s="107" t="s">
        <v>226</v>
      </c>
    </row>
    <row r="20" spans="1:15" s="9" customFormat="1" ht="28">
      <c r="A20" s="105" t="s">
        <v>150</v>
      </c>
      <c r="B20" s="106" t="s">
        <v>224</v>
      </c>
      <c r="C20" s="106" t="s">
        <v>225</v>
      </c>
      <c r="D20" s="107" t="s">
        <v>226</v>
      </c>
    </row>
    <row r="21" spans="1:15" s="9" customFormat="1" ht="14">
      <c r="A21" s="105"/>
      <c r="B21" s="116"/>
      <c r="C21" s="116"/>
      <c r="D21" s="116"/>
    </row>
    <row r="22" spans="1:15" ht="28">
      <c r="A22" s="108" t="s">
        <v>151</v>
      </c>
      <c r="B22" s="109"/>
      <c r="C22" s="109"/>
      <c r="D22" s="110">
        <v>8</v>
      </c>
      <c r="O22" s="48"/>
    </row>
    <row r="23" spans="1:15" ht="28">
      <c r="A23" s="108" t="s">
        <v>152</v>
      </c>
      <c r="B23" s="109"/>
      <c r="C23" s="109"/>
      <c r="D23" s="110">
        <v>1</v>
      </c>
    </row>
    <row r="24" spans="1:15" ht="28">
      <c r="A24" s="108" t="s">
        <v>153</v>
      </c>
      <c r="B24" s="109"/>
      <c r="C24" s="109"/>
      <c r="D24" s="110">
        <v>7</v>
      </c>
    </row>
    <row r="25" spans="1:15">
      <c r="A25" s="47"/>
    </row>
    <row r="26" spans="1:15">
      <c r="A26" s="47"/>
    </row>
    <row r="27" spans="1:15">
      <c r="A27" s="47"/>
    </row>
    <row r="28" spans="1:15">
      <c r="A28" s="47"/>
    </row>
    <row r="29" spans="1:15">
      <c r="A29" s="47"/>
      <c r="C29" s="49"/>
    </row>
    <row r="30" spans="1:15">
      <c r="A30" s="47"/>
      <c r="B30" s="35"/>
      <c r="C30" s="35"/>
      <c r="D30" s="35"/>
      <c r="E30" s="35"/>
    </row>
    <row r="31" spans="1:15" ht="13">
      <c r="A31" s="50"/>
      <c r="B31" s="35"/>
      <c r="C31" s="35"/>
      <c r="D31" s="35"/>
      <c r="E31" s="35"/>
    </row>
  </sheetData>
  <mergeCells count="4">
    <mergeCell ref="A3:A4"/>
    <mergeCell ref="B3:B4"/>
    <mergeCell ref="C3:C4"/>
    <mergeCell ref="D3:D4"/>
  </mergeCells>
  <hyperlinks>
    <hyperlink ref="A6" location="Summary!A1" display="Summary HCV TX'!A1" xr:uid="{00000000-0004-0000-0000-000000000000}"/>
    <hyperlink ref="A7" location="'Document Checklist'!A1" display="Document checklist'!A1" xr:uid="{00000000-0004-0000-0000-000001000000}"/>
    <hyperlink ref="A8" location="'Activities - 2020, 2022'!A1" display="Activities 2020-2022'!A1" xr:uid="{00000000-0004-0000-0000-000002000000}"/>
    <hyperlink ref="A9" location="'Source Information'!A1" display="Sources of information '!A1" xr:uid="{00000000-0004-0000-0000-000003000000}"/>
    <hyperlink ref="A13" location="Sensitization!A1" display="Sensitization!A1" xr:uid="{00000000-0004-0000-0000-000004000000}"/>
    <hyperlink ref="A19" location="'Lab Supplies'!A1" display="Implem. Supplies'!A1" xr:uid="{00000000-0004-0000-0000-000005000000}"/>
    <hyperlink ref="A20" location="'Equip, Trans,OVHD'!A1" display="Implementation - Equip,Trans,OVHD" xr:uid="{00000000-0004-0000-0000-000006000000}"/>
    <hyperlink ref="A17" location="Personnel!A1" display="General. Personnel '!A1" xr:uid="{00000000-0004-0000-0000-000007000000}"/>
    <hyperlink ref="A14" location="'Initial Training'!A1" display="'Initial Training'!A1" xr:uid="{00000000-0004-0000-0000-000008000000}"/>
    <hyperlink ref="A18" location="Lab_Stationery!A1" display="Lab_Stationery" xr:uid="{00000000-0004-0000-0000-000009000000}"/>
    <hyperlink ref="A12" location="Micro_Planning!A1" display="Micro_Planning!A1" xr:uid="{00000000-0004-0000-0000-00000A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E6317-7F00-4475-86B9-61904E3630C3}">
  <dimension ref="A1:AR112"/>
  <sheetViews>
    <sheetView topLeftCell="AE5" zoomScaleNormal="100" workbookViewId="0">
      <selection activeCell="E113" sqref="E113"/>
    </sheetView>
  </sheetViews>
  <sheetFormatPr defaultRowHeight="14.5"/>
  <cols>
    <col min="1" max="1" width="37.90625" customWidth="1"/>
    <col min="2" max="2" width="9.54296875" customWidth="1"/>
    <col min="3" max="3" width="29.54296875" customWidth="1"/>
    <col min="4" max="4" width="20.81640625" customWidth="1"/>
    <col min="5" max="5" width="12.90625" customWidth="1"/>
    <col min="6" max="6" width="33.08984375" customWidth="1"/>
    <col min="7" max="7" width="9.6328125" customWidth="1"/>
    <col min="8" max="8" width="14" customWidth="1"/>
    <col min="9" max="9" width="20.1796875" customWidth="1"/>
    <col min="10" max="10" width="32.6328125" customWidth="1"/>
    <col min="11" max="11" width="11.90625" customWidth="1"/>
    <col min="12" max="12" width="10.26953125" customWidth="1"/>
    <col min="13" max="13" width="14.54296875" customWidth="1"/>
    <col min="14" max="14" width="26" customWidth="1"/>
    <col min="15" max="15" width="16.54296875" customWidth="1"/>
    <col min="16" max="16" width="29.90625" customWidth="1"/>
    <col min="17" max="17" width="11.90625" customWidth="1"/>
    <col min="18" max="18" width="17.26953125" customWidth="1"/>
    <col min="19" max="19" width="31.81640625" customWidth="1"/>
    <col min="20" max="20" width="13.6328125" customWidth="1"/>
    <col min="21" max="21" width="13.7265625" customWidth="1"/>
    <col min="22" max="22" width="40" customWidth="1"/>
    <col min="23" max="23" width="11.7265625" customWidth="1"/>
    <col min="24" max="24" width="30.08984375" customWidth="1"/>
    <col min="25" max="25" width="12.6328125" customWidth="1"/>
    <col min="26" max="26" width="13.90625" customWidth="1"/>
    <col min="27" max="29" width="12.6328125" customWidth="1"/>
    <col min="30" max="30" width="22.08984375" customWidth="1"/>
    <col min="31" max="31" width="22.54296875" customWidth="1"/>
    <col min="32" max="33" width="19.81640625" customWidth="1"/>
    <col min="34" max="34" width="46.81640625" customWidth="1"/>
    <col min="35" max="35" width="15.54296875" customWidth="1"/>
    <col min="36" max="36" width="20.81640625" customWidth="1"/>
    <col min="37" max="37" width="13.26953125" customWidth="1"/>
    <col min="38" max="38" width="13.90625" customWidth="1"/>
    <col min="39" max="39" width="19.453125" customWidth="1"/>
    <col min="40" max="40" width="20.90625" customWidth="1"/>
  </cols>
  <sheetData>
    <row r="1" spans="1:40" ht="15.5">
      <c r="A1" s="203" t="s">
        <v>374</v>
      </c>
      <c r="B1" s="203"/>
      <c r="C1" s="203"/>
      <c r="D1" s="203"/>
      <c r="E1" s="203"/>
      <c r="F1" s="203" t="s">
        <v>234</v>
      </c>
      <c r="G1" s="203"/>
      <c r="H1" s="203" t="s">
        <v>232</v>
      </c>
      <c r="I1" s="203"/>
      <c r="J1" s="203"/>
      <c r="K1" s="203" t="s">
        <v>32</v>
      </c>
      <c r="L1" s="203"/>
      <c r="M1" s="203"/>
      <c r="N1" s="203"/>
      <c r="O1" s="203"/>
      <c r="P1" s="203"/>
      <c r="Q1" s="203"/>
      <c r="R1" s="203"/>
      <c r="S1" s="203" t="s">
        <v>233</v>
      </c>
      <c r="T1" s="154"/>
      <c r="U1" s="154"/>
      <c r="V1" s="154"/>
      <c r="W1" s="154"/>
      <c r="X1" s="154"/>
      <c r="Y1" s="154"/>
      <c r="Z1" s="154"/>
      <c r="AA1" s="154"/>
      <c r="AB1" s="154"/>
      <c r="AC1" s="154"/>
      <c r="AD1" s="154"/>
      <c r="AE1" s="154"/>
      <c r="AF1" s="154"/>
      <c r="AG1" s="154"/>
      <c r="AH1" s="154"/>
      <c r="AI1" s="154"/>
      <c r="AJ1" s="154"/>
      <c r="AK1" s="154"/>
      <c r="AL1" s="154"/>
      <c r="AM1" s="154"/>
      <c r="AN1" s="154"/>
    </row>
    <row r="2" spans="1:40" ht="17.5" customHeight="1">
      <c r="A2" s="203" t="s">
        <v>231</v>
      </c>
      <c r="B2" s="203"/>
      <c r="C2" s="204" t="s">
        <v>464</v>
      </c>
      <c r="D2" s="154"/>
      <c r="E2" s="154"/>
      <c r="F2" s="205"/>
      <c r="G2" s="205"/>
      <c r="H2" s="205"/>
      <c r="I2" s="205"/>
      <c r="J2" s="154"/>
      <c r="K2" s="154">
        <v>1</v>
      </c>
      <c r="L2" s="154"/>
      <c r="M2" s="154"/>
      <c r="N2" s="154"/>
      <c r="O2" s="154"/>
      <c r="P2" s="154"/>
      <c r="Q2" s="154"/>
      <c r="R2" s="154"/>
      <c r="S2" s="154">
        <v>110</v>
      </c>
      <c r="T2" s="154"/>
      <c r="U2" s="154"/>
      <c r="V2" s="154"/>
      <c r="W2" s="154"/>
      <c r="X2" s="154"/>
      <c r="Y2" s="154"/>
      <c r="Z2" s="154"/>
      <c r="AA2" s="154"/>
      <c r="AB2" s="154"/>
      <c r="AC2" s="154"/>
      <c r="AD2" s="154"/>
      <c r="AE2" s="154"/>
      <c r="AF2" s="154"/>
      <c r="AG2" s="154"/>
      <c r="AH2" s="154"/>
      <c r="AI2" s="154"/>
      <c r="AJ2" s="154"/>
      <c r="AK2" s="154"/>
      <c r="AL2" s="154"/>
      <c r="AM2" s="154"/>
      <c r="AN2" s="154"/>
    </row>
    <row r="3" spans="1:40" ht="19.5" customHeight="1">
      <c r="A3" s="206" t="s">
        <v>462</v>
      </c>
      <c r="B3" s="206"/>
      <c r="C3" s="207" t="s">
        <v>463</v>
      </c>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154"/>
      <c r="AN3" s="154"/>
    </row>
    <row r="4" spans="1:40" ht="15.5">
      <c r="A4" s="779" t="s">
        <v>524</v>
      </c>
      <c r="B4" s="780"/>
      <c r="C4" s="780"/>
      <c r="D4" s="780"/>
      <c r="E4" s="780"/>
      <c r="F4" s="780"/>
      <c r="G4" s="780"/>
      <c r="H4" s="780"/>
      <c r="I4" s="780"/>
      <c r="J4" s="780"/>
      <c r="K4" s="780"/>
      <c r="L4" s="780"/>
      <c r="M4" s="780"/>
      <c r="N4" s="780"/>
      <c r="O4" s="780"/>
      <c r="P4" s="780"/>
      <c r="Q4" s="780"/>
      <c r="R4" s="780"/>
      <c r="S4" s="780"/>
      <c r="T4" s="780"/>
      <c r="U4" s="780"/>
      <c r="V4" s="780"/>
      <c r="W4" s="780"/>
      <c r="X4" s="780"/>
      <c r="Y4" s="780"/>
      <c r="Z4" s="780"/>
      <c r="AA4" s="780"/>
      <c r="AB4" s="780"/>
      <c r="AC4" s="780"/>
      <c r="AD4" s="780"/>
      <c r="AE4" s="780"/>
      <c r="AF4" s="780"/>
      <c r="AG4" s="780"/>
      <c r="AH4" s="780"/>
      <c r="AI4" s="780"/>
      <c r="AJ4" s="780"/>
      <c r="AK4" s="780"/>
      <c r="AL4" s="780"/>
      <c r="AM4" s="780"/>
      <c r="AN4" s="781"/>
    </row>
    <row r="5" spans="1:40" ht="21.5" customHeight="1">
      <c r="A5" s="209" t="s">
        <v>334</v>
      </c>
      <c r="B5" s="209"/>
      <c r="C5" s="209" t="s">
        <v>348</v>
      </c>
      <c r="D5" s="210" t="s">
        <v>465</v>
      </c>
      <c r="E5" s="210"/>
      <c r="F5" s="210" t="s">
        <v>355</v>
      </c>
      <c r="G5" s="210"/>
      <c r="H5" s="210" t="s">
        <v>356</v>
      </c>
      <c r="I5" s="210"/>
      <c r="J5" s="210" t="s">
        <v>335</v>
      </c>
      <c r="K5" s="209" t="s">
        <v>348</v>
      </c>
      <c r="L5" s="209"/>
      <c r="M5" s="209"/>
      <c r="N5" s="209"/>
      <c r="O5" s="209"/>
      <c r="P5" s="209"/>
      <c r="Q5" s="209"/>
      <c r="R5" s="209"/>
      <c r="S5" s="210" t="s">
        <v>465</v>
      </c>
      <c r="T5" s="210" t="s">
        <v>355</v>
      </c>
      <c r="U5" s="210" t="s">
        <v>356</v>
      </c>
      <c r="V5" s="210" t="s">
        <v>510</v>
      </c>
      <c r="W5" s="209" t="s">
        <v>348</v>
      </c>
      <c r="X5" s="210" t="s">
        <v>465</v>
      </c>
      <c r="Y5" s="210" t="s">
        <v>509</v>
      </c>
      <c r="Z5" s="210"/>
      <c r="AA5" s="210"/>
      <c r="AB5" s="210"/>
      <c r="AC5" s="210"/>
      <c r="AD5" s="210" t="s">
        <v>365</v>
      </c>
      <c r="AE5" s="210" t="s">
        <v>436</v>
      </c>
      <c r="AF5" s="210" t="s">
        <v>306</v>
      </c>
      <c r="AG5" s="210" t="s">
        <v>259</v>
      </c>
      <c r="AH5" s="210" t="s">
        <v>511</v>
      </c>
      <c r="AI5" s="209" t="s">
        <v>348</v>
      </c>
      <c r="AJ5" s="210" t="s">
        <v>465</v>
      </c>
      <c r="AK5" s="210" t="s">
        <v>355</v>
      </c>
      <c r="AL5" s="210" t="s">
        <v>356</v>
      </c>
      <c r="AM5" s="210" t="s">
        <v>306</v>
      </c>
      <c r="AN5" s="210" t="s">
        <v>259</v>
      </c>
    </row>
    <row r="6" spans="1:40" ht="19" customHeight="1">
      <c r="A6" s="204" t="s">
        <v>336</v>
      </c>
      <c r="B6" s="204"/>
      <c r="C6" s="204" t="s">
        <v>17</v>
      </c>
      <c r="D6" s="154">
        <v>4</v>
      </c>
      <c r="E6" s="154"/>
      <c r="F6" s="212">
        <f>D6*Personnel!Q16</f>
        <v>51.30263157894737</v>
      </c>
      <c r="G6" s="212"/>
      <c r="H6" s="212">
        <f>D6*Personnel!R16</f>
        <v>0.46638755980861246</v>
      </c>
      <c r="I6" s="212"/>
      <c r="J6" s="204" t="s">
        <v>340</v>
      </c>
      <c r="K6" s="204" t="s">
        <v>280</v>
      </c>
      <c r="L6" s="204"/>
      <c r="M6" s="204"/>
      <c r="N6" s="204"/>
      <c r="O6" s="204"/>
      <c r="P6" s="204"/>
      <c r="Q6" s="204"/>
      <c r="R6" s="204"/>
      <c r="S6" s="154">
        <v>1</v>
      </c>
      <c r="T6" s="212">
        <f>S6*Personnel!Q14</f>
        <v>14.470394736842106</v>
      </c>
      <c r="U6" s="212">
        <f>S6*Personnel!R14</f>
        <v>0.13154904306220097</v>
      </c>
      <c r="V6" s="204" t="s">
        <v>337</v>
      </c>
      <c r="W6" s="204" t="s">
        <v>280</v>
      </c>
      <c r="X6" s="154">
        <v>1</v>
      </c>
      <c r="Y6" s="154">
        <f>W9*W10</f>
        <v>84</v>
      </c>
      <c r="Z6" s="154"/>
      <c r="AA6" s="154"/>
      <c r="AB6" s="154"/>
      <c r="AC6" s="154"/>
      <c r="AD6" s="212">
        <f>X6*Personnel!Q14</f>
        <v>14.470394736842106</v>
      </c>
      <c r="AE6" s="212">
        <f>X6*Personnel!R14</f>
        <v>0.13154904306220097</v>
      </c>
      <c r="AF6" s="212">
        <f>Y6*AD6</f>
        <v>1215.5131578947369</v>
      </c>
      <c r="AG6" s="212">
        <f>AF6/S2</f>
        <v>11.050119617224881</v>
      </c>
      <c r="AH6" s="204" t="s">
        <v>338</v>
      </c>
      <c r="AI6" s="204" t="s">
        <v>280</v>
      </c>
      <c r="AJ6" s="154">
        <v>2</v>
      </c>
      <c r="AK6" s="212">
        <f>AJ6*Personnel!Q14</f>
        <v>28.940789473684212</v>
      </c>
      <c r="AL6" s="212">
        <f>AJ6*Personnel!R14</f>
        <v>0.26309808612440194</v>
      </c>
      <c r="AM6" s="213"/>
      <c r="AN6" s="213"/>
    </row>
    <row r="7" spans="1:40" ht="14.5" customHeight="1">
      <c r="A7" s="204" t="s">
        <v>339</v>
      </c>
      <c r="B7" s="204"/>
      <c r="C7" s="204" t="s">
        <v>17</v>
      </c>
      <c r="D7" s="154">
        <v>2</v>
      </c>
      <c r="E7" s="154"/>
      <c r="F7" s="212">
        <f>D7*Personnel!Q16</f>
        <v>25.651315789473685</v>
      </c>
      <c r="G7" s="212"/>
      <c r="H7" s="212">
        <f>D7*Personnel!R16</f>
        <v>0.23319377990430623</v>
      </c>
      <c r="I7" s="212"/>
      <c r="J7" s="204" t="s">
        <v>342</v>
      </c>
      <c r="K7" s="204" t="s">
        <v>280</v>
      </c>
      <c r="L7" s="204"/>
      <c r="M7" s="204"/>
      <c r="N7" s="204"/>
      <c r="O7" s="204"/>
      <c r="P7" s="204"/>
      <c r="Q7" s="204"/>
      <c r="R7" s="204"/>
      <c r="S7" s="154">
        <v>2</v>
      </c>
      <c r="T7" s="212">
        <f>S7*Personnel!Q14</f>
        <v>28.940789473684212</v>
      </c>
      <c r="U7" s="212">
        <f>S7*Personnel!R14</f>
        <v>0.26309808612440194</v>
      </c>
      <c r="V7" s="204" t="s">
        <v>342</v>
      </c>
      <c r="W7" s="204" t="s">
        <v>280</v>
      </c>
      <c r="X7" s="154">
        <v>1</v>
      </c>
      <c r="Y7" s="154">
        <f>W9*W10</f>
        <v>84</v>
      </c>
      <c r="Z7" s="154"/>
      <c r="AA7" s="154"/>
      <c r="AB7" s="154"/>
      <c r="AC7" s="154"/>
      <c r="AD7" s="212">
        <f>X7*Personnel!Q14</f>
        <v>14.470394736842106</v>
      </c>
      <c r="AE7" s="212">
        <f>X7*Personnel!R14</f>
        <v>0.13154904306220097</v>
      </c>
      <c r="AF7" s="212">
        <f t="shared" ref="AF7:AF8" si="0">Y7*AD7</f>
        <v>1215.5131578947369</v>
      </c>
      <c r="AG7" s="212">
        <f>AF7/S2</f>
        <v>11.050119617224881</v>
      </c>
      <c r="AH7" s="204" t="s">
        <v>347</v>
      </c>
      <c r="AI7" s="204" t="s">
        <v>17</v>
      </c>
      <c r="AJ7" s="154">
        <v>4</v>
      </c>
      <c r="AK7" s="212">
        <f>AJ7*Personnel!Q16</f>
        <v>51.30263157894737</v>
      </c>
      <c r="AL7" s="212">
        <f>AJ7*Personnel!R16</f>
        <v>0.46638755980861246</v>
      </c>
      <c r="AM7" s="213"/>
      <c r="AN7" s="213"/>
    </row>
    <row r="8" spans="1:40" ht="16" customHeight="1">
      <c r="A8" s="204" t="s">
        <v>347</v>
      </c>
      <c r="B8" s="204"/>
      <c r="C8" s="204" t="s">
        <v>17</v>
      </c>
      <c r="D8" s="154">
        <v>4</v>
      </c>
      <c r="E8" s="154"/>
      <c r="F8" s="212">
        <f>D8*Personnel!Q16</f>
        <v>51.30263157894737</v>
      </c>
      <c r="G8" s="212"/>
      <c r="H8" s="212">
        <f>D8*Personnel!R16</f>
        <v>0.46638755980861246</v>
      </c>
      <c r="I8" s="212"/>
      <c r="J8" s="204" t="s">
        <v>343</v>
      </c>
      <c r="K8" s="204" t="s">
        <v>280</v>
      </c>
      <c r="L8" s="204"/>
      <c r="M8" s="204"/>
      <c r="N8" s="204"/>
      <c r="O8" s="204"/>
      <c r="P8" s="204"/>
      <c r="Q8" s="204"/>
      <c r="R8" s="204"/>
      <c r="S8" s="154">
        <v>1</v>
      </c>
      <c r="T8" s="212">
        <f>S8*Personnel!Q14</f>
        <v>14.470394736842106</v>
      </c>
      <c r="U8" s="212">
        <f>S8*Personnel!R14</f>
        <v>0.13154904306220097</v>
      </c>
      <c r="V8" s="204" t="s">
        <v>344</v>
      </c>
      <c r="W8" s="204" t="s">
        <v>280</v>
      </c>
      <c r="X8" s="154">
        <v>1</v>
      </c>
      <c r="Y8" s="154">
        <f>W9*W10</f>
        <v>84</v>
      </c>
      <c r="Z8" s="154"/>
      <c r="AA8" s="154"/>
      <c r="AB8" s="154"/>
      <c r="AC8" s="154"/>
      <c r="AD8" s="212">
        <f>X8*Personnel!Q14</f>
        <v>14.470394736842106</v>
      </c>
      <c r="AE8" s="212">
        <f>X8*Personnel!R14</f>
        <v>0.13154904306220097</v>
      </c>
      <c r="AF8" s="212">
        <f t="shared" si="0"/>
        <v>1215.5131578947369</v>
      </c>
      <c r="AG8" s="212">
        <f>AF8/S2</f>
        <v>11.050119617224881</v>
      </c>
      <c r="AH8" s="204" t="s">
        <v>342</v>
      </c>
      <c r="AI8" s="204" t="s">
        <v>280</v>
      </c>
      <c r="AJ8" s="154">
        <v>2</v>
      </c>
      <c r="AK8" s="212">
        <f>AJ8*Personnel!Q14</f>
        <v>28.940789473684212</v>
      </c>
      <c r="AL8" s="212">
        <f>AJ8*Personnel!R14</f>
        <v>0.26309808612440194</v>
      </c>
      <c r="AM8" s="213"/>
      <c r="AN8" s="213"/>
    </row>
    <row r="9" spans="1:40" ht="14" customHeight="1">
      <c r="A9" s="204" t="s">
        <v>340</v>
      </c>
      <c r="B9" s="204"/>
      <c r="C9" s="204" t="s">
        <v>280</v>
      </c>
      <c r="D9" s="154">
        <v>3</v>
      </c>
      <c r="E9" s="154"/>
      <c r="F9" s="212">
        <f>D9*Personnel!Q14</f>
        <v>43.411184210526315</v>
      </c>
      <c r="G9" s="212"/>
      <c r="H9" s="212">
        <f>D9*Personnel!R14</f>
        <v>0.39464712918660294</v>
      </c>
      <c r="I9" s="212"/>
      <c r="J9" s="204" t="s">
        <v>345</v>
      </c>
      <c r="K9" s="204" t="s">
        <v>280</v>
      </c>
      <c r="L9" s="204"/>
      <c r="M9" s="204"/>
      <c r="N9" s="204"/>
      <c r="O9" s="204"/>
      <c r="P9" s="204"/>
      <c r="Q9" s="204"/>
      <c r="R9" s="204"/>
      <c r="S9" s="154">
        <v>3</v>
      </c>
      <c r="T9" s="212">
        <f>S9*Personnel!Q14</f>
        <v>43.411184210526315</v>
      </c>
      <c r="U9" s="212">
        <f>S9*Personnel!R14</f>
        <v>0.39464712918660294</v>
      </c>
      <c r="V9" s="154" t="s">
        <v>507</v>
      </c>
      <c r="W9" s="154">
        <v>7</v>
      </c>
      <c r="X9" s="154"/>
      <c r="Y9" s="154"/>
      <c r="Z9" s="154"/>
      <c r="AA9" s="154"/>
      <c r="AB9" s="154"/>
      <c r="AC9" s="154"/>
      <c r="AD9" s="154"/>
      <c r="AE9" s="154"/>
      <c r="AF9" s="154"/>
      <c r="AG9" s="154"/>
      <c r="AH9" s="204" t="s">
        <v>342</v>
      </c>
      <c r="AI9" s="204" t="s">
        <v>17</v>
      </c>
      <c r="AJ9" s="154">
        <v>1</v>
      </c>
      <c r="AK9" s="212">
        <f>AJ9*Personnel!Q16</f>
        <v>12.825657894736842</v>
      </c>
      <c r="AL9" s="212">
        <f>AJ9*Personnel!R16</f>
        <v>0.11659688995215312</v>
      </c>
      <c r="AM9" s="213"/>
      <c r="AN9" s="213"/>
    </row>
    <row r="10" spans="1:40" ht="15.5" customHeight="1">
      <c r="A10" s="204" t="s">
        <v>341</v>
      </c>
      <c r="B10" s="204"/>
      <c r="C10" s="204" t="s">
        <v>280</v>
      </c>
      <c r="D10" s="154">
        <v>4</v>
      </c>
      <c r="E10" s="154"/>
      <c r="F10" s="212">
        <f>D10*Personnel!Q14</f>
        <v>57.881578947368425</v>
      </c>
      <c r="G10" s="212"/>
      <c r="H10" s="212">
        <f>D10*Personnel!R14</f>
        <v>0.52619617224880388</v>
      </c>
      <c r="I10" s="212"/>
      <c r="J10" s="204" t="s">
        <v>346</v>
      </c>
      <c r="K10" s="204" t="s">
        <v>280</v>
      </c>
      <c r="L10" s="204"/>
      <c r="M10" s="204"/>
      <c r="N10" s="204"/>
      <c r="O10" s="204"/>
      <c r="P10" s="204"/>
      <c r="Q10" s="204"/>
      <c r="R10" s="204"/>
      <c r="S10" s="154">
        <v>2</v>
      </c>
      <c r="T10" s="212">
        <f>S10*Personnel!Q14</f>
        <v>28.940789473684212</v>
      </c>
      <c r="U10" s="212">
        <f>S10*Personnel!R14</f>
        <v>0.26309808612440194</v>
      </c>
      <c r="V10" s="154" t="s">
        <v>508</v>
      </c>
      <c r="W10" s="154">
        <v>12</v>
      </c>
      <c r="X10" s="154"/>
      <c r="Y10" s="154"/>
      <c r="Z10" s="154"/>
      <c r="AA10" s="154"/>
      <c r="AB10" s="154"/>
      <c r="AC10" s="154"/>
      <c r="AD10" s="154"/>
      <c r="AE10" s="154"/>
      <c r="AF10" s="154"/>
      <c r="AG10" s="154"/>
      <c r="AH10" s="204" t="s">
        <v>339</v>
      </c>
      <c r="AI10" s="204" t="s">
        <v>17</v>
      </c>
      <c r="AJ10" s="154">
        <v>3</v>
      </c>
      <c r="AK10" s="212">
        <f>AJ10*Personnel!Q16</f>
        <v>38.476973684210527</v>
      </c>
      <c r="AL10" s="212">
        <f>AJ10*Personnel!R16</f>
        <v>0.34979066985645935</v>
      </c>
      <c r="AM10" s="213"/>
      <c r="AN10" s="213"/>
    </row>
    <row r="11" spans="1:40" ht="15.5">
      <c r="A11" s="211" t="s">
        <v>506</v>
      </c>
      <c r="B11" s="211"/>
      <c r="C11" s="211"/>
      <c r="D11" s="208">
        <f>SUM(D6:D10)</f>
        <v>17</v>
      </c>
      <c r="E11" s="208"/>
      <c r="F11" s="229">
        <f>SUM(F6:F10)</f>
        <v>229.54934210526318</v>
      </c>
      <c r="G11" s="229"/>
      <c r="H11" s="229">
        <f>SUM(H6:H10)</f>
        <v>2.0868122009569379</v>
      </c>
      <c r="I11" s="229"/>
      <c r="J11" s="208"/>
      <c r="K11" s="208"/>
      <c r="L11" s="208"/>
      <c r="M11" s="208"/>
      <c r="N11" s="208"/>
      <c r="O11" s="208"/>
      <c r="P11" s="208"/>
      <c r="Q11" s="208"/>
      <c r="R11" s="208"/>
      <c r="S11" s="208">
        <f>SUM(S6:S10)</f>
        <v>9</v>
      </c>
      <c r="T11" s="229">
        <f>SUM(T6:T10)</f>
        <v>130.23355263157896</v>
      </c>
      <c r="U11" s="229">
        <f>SUM(U6:U10)</f>
        <v>1.1839413875598088</v>
      </c>
      <c r="V11" s="208"/>
      <c r="W11" s="208"/>
      <c r="X11" s="208">
        <f>SUM(X6:X10)</f>
        <v>3</v>
      </c>
      <c r="Y11" s="208"/>
      <c r="Z11" s="208"/>
      <c r="AA11" s="208"/>
      <c r="AB11" s="208"/>
      <c r="AC11" s="208"/>
      <c r="AD11" s="229"/>
      <c r="AE11" s="229"/>
      <c r="AF11" s="229">
        <f>SUM(AF6:AF8)</f>
        <v>3646.5394736842109</v>
      </c>
      <c r="AG11" s="229">
        <f>SUM(AG6:AG8)</f>
        <v>33.150358851674646</v>
      </c>
      <c r="AH11" s="208"/>
      <c r="AI11" s="208"/>
      <c r="AJ11" s="208">
        <f>SUM(AJ6:AJ10)</f>
        <v>12</v>
      </c>
      <c r="AK11" s="229">
        <f>SUM(AK6:AK10)</f>
        <v>160.48684210526318</v>
      </c>
      <c r="AL11" s="229">
        <f>SUM(AL6:AL10)</f>
        <v>1.4589712918660287</v>
      </c>
      <c r="AM11" s="229">
        <f>SUM(F11+T11+AF11+AG11)</f>
        <v>4039.4727272727278</v>
      </c>
      <c r="AN11" s="229">
        <f>AM11/S2</f>
        <v>36.72247933884298</v>
      </c>
    </row>
    <row r="12" spans="1:40" ht="15" customHeight="1">
      <c r="A12" s="776" t="s">
        <v>357</v>
      </c>
      <c r="B12" s="777"/>
      <c r="C12" s="777"/>
      <c r="D12" s="777"/>
      <c r="E12" s="777"/>
      <c r="F12" s="777"/>
      <c r="G12" s="777"/>
      <c r="H12" s="777"/>
      <c r="I12" s="777"/>
      <c r="J12" s="777"/>
      <c r="K12" s="777"/>
      <c r="L12" s="777"/>
      <c r="M12" s="777"/>
      <c r="N12" s="777"/>
      <c r="O12" s="777"/>
      <c r="P12" s="777"/>
      <c r="Q12" s="777"/>
      <c r="R12" s="777"/>
      <c r="S12" s="777"/>
      <c r="T12" s="777"/>
      <c r="U12" s="777"/>
      <c r="V12" s="777"/>
      <c r="W12" s="777"/>
      <c r="X12" s="777"/>
      <c r="Y12" s="777"/>
      <c r="Z12" s="777"/>
      <c r="AA12" s="777"/>
      <c r="AB12" s="777"/>
      <c r="AC12" s="777"/>
      <c r="AD12" s="777"/>
      <c r="AE12" s="777"/>
      <c r="AF12" s="777"/>
      <c r="AG12" s="777"/>
      <c r="AH12" s="777"/>
      <c r="AI12" s="777"/>
      <c r="AJ12" s="777"/>
      <c r="AK12" s="777"/>
      <c r="AL12" s="778"/>
      <c r="AM12" s="215"/>
      <c r="AN12" s="215"/>
    </row>
    <row r="13" spans="1:40" ht="15.5">
      <c r="A13" s="779" t="s">
        <v>525</v>
      </c>
      <c r="B13" s="780"/>
      <c r="C13" s="780"/>
      <c r="D13" s="780"/>
      <c r="E13" s="780"/>
      <c r="F13" s="780"/>
      <c r="G13" s="780"/>
      <c r="H13" s="780"/>
      <c r="I13" s="780"/>
      <c r="J13" s="780"/>
      <c r="K13" s="780"/>
      <c r="L13" s="780"/>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1"/>
    </row>
    <row r="14" spans="1:40" ht="18.5" customHeight="1">
      <c r="A14" s="209" t="s">
        <v>334</v>
      </c>
      <c r="B14" s="209"/>
      <c r="C14" s="209" t="s">
        <v>348</v>
      </c>
      <c r="D14" s="210" t="s">
        <v>465</v>
      </c>
      <c r="E14" s="210"/>
      <c r="F14" s="210" t="s">
        <v>355</v>
      </c>
      <c r="G14" s="210"/>
      <c r="H14" s="210" t="s">
        <v>356</v>
      </c>
      <c r="I14" s="210"/>
      <c r="J14" s="210" t="s">
        <v>335</v>
      </c>
      <c r="K14" s="209" t="s">
        <v>348</v>
      </c>
      <c r="L14" s="209"/>
      <c r="M14" s="209"/>
      <c r="N14" s="209"/>
      <c r="O14" s="209"/>
      <c r="P14" s="209"/>
      <c r="Q14" s="209"/>
      <c r="R14" s="209"/>
      <c r="S14" s="210" t="s">
        <v>465</v>
      </c>
      <c r="T14" s="210" t="s">
        <v>355</v>
      </c>
      <c r="U14" s="210" t="s">
        <v>356</v>
      </c>
      <c r="V14" s="210" t="s">
        <v>510</v>
      </c>
      <c r="W14" s="209" t="s">
        <v>348</v>
      </c>
      <c r="X14" s="210" t="s">
        <v>465</v>
      </c>
      <c r="Y14" s="210" t="s">
        <v>509</v>
      </c>
      <c r="Z14" s="210"/>
      <c r="AA14" s="210"/>
      <c r="AB14" s="210"/>
      <c r="AC14" s="210"/>
      <c r="AD14" s="210" t="s">
        <v>355</v>
      </c>
      <c r="AE14" s="210" t="s">
        <v>356</v>
      </c>
      <c r="AF14" s="210" t="s">
        <v>306</v>
      </c>
      <c r="AG14" s="210" t="s">
        <v>259</v>
      </c>
      <c r="AH14" s="210" t="s">
        <v>511</v>
      </c>
      <c r="AI14" s="209" t="s">
        <v>348</v>
      </c>
      <c r="AJ14" s="210" t="s">
        <v>465</v>
      </c>
      <c r="AK14" s="210" t="s">
        <v>355</v>
      </c>
      <c r="AL14" s="210" t="s">
        <v>356</v>
      </c>
      <c r="AM14" s="210" t="s">
        <v>306</v>
      </c>
      <c r="AN14" s="210" t="s">
        <v>259</v>
      </c>
    </row>
    <row r="15" spans="1:40" ht="19" customHeight="1">
      <c r="A15" s="204" t="s">
        <v>336</v>
      </c>
      <c r="B15" s="204"/>
      <c r="C15" s="204" t="s">
        <v>17</v>
      </c>
      <c r="D15" s="154">
        <v>6</v>
      </c>
      <c r="E15" s="154"/>
      <c r="F15" s="212">
        <f>D15*Personnel!Q16</f>
        <v>76.953947368421055</v>
      </c>
      <c r="G15" s="212"/>
      <c r="H15" s="212">
        <f>D15*Personnel!R16</f>
        <v>0.69958133971291869</v>
      </c>
      <c r="I15" s="212"/>
      <c r="J15" s="204" t="s">
        <v>340</v>
      </c>
      <c r="K15" s="204" t="s">
        <v>280</v>
      </c>
      <c r="L15" s="204"/>
      <c r="M15" s="204"/>
      <c r="N15" s="204"/>
      <c r="O15" s="204"/>
      <c r="P15" s="204"/>
      <c r="Q15" s="204"/>
      <c r="R15" s="204"/>
      <c r="S15" s="154">
        <v>2</v>
      </c>
      <c r="T15" s="212">
        <f>S15*Personnel!Q14</f>
        <v>28.940789473684212</v>
      </c>
      <c r="U15" s="212">
        <f>S15*Personnel!R14</f>
        <v>0.26309808612440194</v>
      </c>
      <c r="V15" s="204" t="s">
        <v>337</v>
      </c>
      <c r="W15" s="204" t="s">
        <v>280</v>
      </c>
      <c r="X15" s="154">
        <v>1</v>
      </c>
      <c r="Y15" s="154">
        <f>W18*W19</f>
        <v>84</v>
      </c>
      <c r="Z15" s="154"/>
      <c r="AA15" s="154"/>
      <c r="AB15" s="154"/>
      <c r="AC15" s="154"/>
      <c r="AD15" s="212">
        <f>X15*Personnel!Q14</f>
        <v>14.470394736842106</v>
      </c>
      <c r="AE15" s="212">
        <f>X15*Personnel!R14</f>
        <v>0.13154904306220097</v>
      </c>
      <c r="AF15" s="212">
        <f>Y15*AD15</f>
        <v>1215.5131578947369</v>
      </c>
      <c r="AG15" s="212">
        <f>AF15/S2</f>
        <v>11.050119617224881</v>
      </c>
      <c r="AH15" s="204" t="s">
        <v>338</v>
      </c>
      <c r="AI15" s="204" t="s">
        <v>280</v>
      </c>
      <c r="AJ15" s="154">
        <v>2</v>
      </c>
      <c r="AK15" s="212">
        <f>AJ15*Personnel!Q14</f>
        <v>28.940789473684212</v>
      </c>
      <c r="AL15" s="212">
        <f>AJ15*Personnel!R14</f>
        <v>0.26309808612440194</v>
      </c>
      <c r="AM15" s="213"/>
      <c r="AN15" s="213"/>
    </row>
    <row r="16" spans="1:40" ht="18" customHeight="1">
      <c r="A16" s="204" t="s">
        <v>339</v>
      </c>
      <c r="B16" s="204"/>
      <c r="C16" s="204" t="s">
        <v>17</v>
      </c>
      <c r="D16" s="154">
        <v>2</v>
      </c>
      <c r="E16" s="154"/>
      <c r="F16" s="212">
        <f>D16*Personnel!Q16</f>
        <v>25.651315789473685</v>
      </c>
      <c r="G16" s="212"/>
      <c r="H16" s="212">
        <f>D16*Personnel!R16</f>
        <v>0.23319377990430623</v>
      </c>
      <c r="I16" s="212"/>
      <c r="J16" s="204" t="s">
        <v>342</v>
      </c>
      <c r="K16" s="204" t="s">
        <v>280</v>
      </c>
      <c r="L16" s="204"/>
      <c r="M16" s="204"/>
      <c r="N16" s="204"/>
      <c r="O16" s="204"/>
      <c r="P16" s="204"/>
      <c r="Q16" s="204"/>
      <c r="R16" s="204"/>
      <c r="S16" s="154">
        <v>2</v>
      </c>
      <c r="T16" s="212">
        <f>S16*Personnel!Q14</f>
        <v>28.940789473684212</v>
      </c>
      <c r="U16" s="212">
        <f>S16*Personnel!R14</f>
        <v>0.26309808612440194</v>
      </c>
      <c r="V16" s="204" t="s">
        <v>342</v>
      </c>
      <c r="W16" s="204" t="s">
        <v>280</v>
      </c>
      <c r="X16" s="154">
        <v>1</v>
      </c>
      <c r="Y16" s="154">
        <f>W18*W19</f>
        <v>84</v>
      </c>
      <c r="Z16" s="154"/>
      <c r="AA16" s="154"/>
      <c r="AB16" s="154"/>
      <c r="AC16" s="154"/>
      <c r="AD16" s="212">
        <f>X16*Personnel!Q14</f>
        <v>14.470394736842106</v>
      </c>
      <c r="AE16" s="212">
        <f>X16*Personnel!R14</f>
        <v>0.13154904306220097</v>
      </c>
      <c r="AF16" s="212">
        <f t="shared" ref="AF16:AF17" si="1">Y16*AD16</f>
        <v>1215.5131578947369</v>
      </c>
      <c r="AG16" s="212">
        <f>AF16/S2</f>
        <v>11.050119617224881</v>
      </c>
      <c r="AH16" s="204" t="s">
        <v>347</v>
      </c>
      <c r="AI16" s="204" t="s">
        <v>17</v>
      </c>
      <c r="AJ16" s="154">
        <v>5</v>
      </c>
      <c r="AK16" s="212">
        <f>AJ16*Personnel!Q16</f>
        <v>64.12828947368422</v>
      </c>
      <c r="AL16" s="212">
        <f>AJ16*Personnel!R16</f>
        <v>0.58298444976076558</v>
      </c>
      <c r="AM16" s="213"/>
      <c r="AN16" s="213"/>
    </row>
    <row r="17" spans="1:44" ht="16.5" customHeight="1">
      <c r="A17" s="204" t="s">
        <v>347</v>
      </c>
      <c r="B17" s="204"/>
      <c r="C17" s="204" t="s">
        <v>17</v>
      </c>
      <c r="D17" s="154">
        <v>4</v>
      </c>
      <c r="E17" s="154"/>
      <c r="F17" s="212">
        <f>D17*Personnel!Q16</f>
        <v>51.30263157894737</v>
      </c>
      <c r="G17" s="212"/>
      <c r="H17" s="212">
        <f>D17*Personnel!R16</f>
        <v>0.46638755980861246</v>
      </c>
      <c r="I17" s="212"/>
      <c r="J17" s="204" t="s">
        <v>343</v>
      </c>
      <c r="K17" s="204" t="s">
        <v>280</v>
      </c>
      <c r="L17" s="204"/>
      <c r="M17" s="204"/>
      <c r="N17" s="204"/>
      <c r="O17" s="204"/>
      <c r="P17" s="204"/>
      <c r="Q17" s="204"/>
      <c r="R17" s="204"/>
      <c r="S17" s="154">
        <v>2</v>
      </c>
      <c r="T17" s="212">
        <f>S17*Personnel!Q14</f>
        <v>28.940789473684212</v>
      </c>
      <c r="U17" s="212">
        <f>S17*Personnel!R14</f>
        <v>0.26309808612440194</v>
      </c>
      <c r="V17" s="204" t="s">
        <v>344</v>
      </c>
      <c r="W17" s="204" t="s">
        <v>280</v>
      </c>
      <c r="X17" s="154">
        <v>1</v>
      </c>
      <c r="Y17" s="154">
        <f>W18*W19</f>
        <v>84</v>
      </c>
      <c r="Z17" s="154"/>
      <c r="AA17" s="154"/>
      <c r="AB17" s="154"/>
      <c r="AC17" s="154"/>
      <c r="AD17" s="212">
        <f>X17*Personnel!Q14</f>
        <v>14.470394736842106</v>
      </c>
      <c r="AE17" s="212">
        <f>X17*Personnel!R14</f>
        <v>0.13154904306220097</v>
      </c>
      <c r="AF17" s="212">
        <f t="shared" si="1"/>
        <v>1215.5131578947369</v>
      </c>
      <c r="AG17" s="212">
        <f>AF17/S2</f>
        <v>11.050119617224881</v>
      </c>
      <c r="AH17" s="204" t="s">
        <v>342</v>
      </c>
      <c r="AI17" s="204" t="s">
        <v>280</v>
      </c>
      <c r="AJ17" s="154">
        <v>2</v>
      </c>
      <c r="AK17" s="212">
        <f>AJ17*Personnel!Q14</f>
        <v>28.940789473684212</v>
      </c>
      <c r="AL17" s="212">
        <f>AJ17*Personnel!R14</f>
        <v>0.26309808612440194</v>
      </c>
      <c r="AM17" s="213"/>
      <c r="AN17" s="213"/>
    </row>
    <row r="18" spans="1:44" ht="18.5" customHeight="1">
      <c r="A18" s="204" t="s">
        <v>340</v>
      </c>
      <c r="B18" s="204"/>
      <c r="C18" s="204" t="s">
        <v>280</v>
      </c>
      <c r="D18" s="154">
        <v>4</v>
      </c>
      <c r="E18" s="154"/>
      <c r="F18" s="212">
        <f>D18*Personnel!Q14</f>
        <v>57.881578947368425</v>
      </c>
      <c r="G18" s="212"/>
      <c r="H18" s="212">
        <f>D18*Personnel!R14</f>
        <v>0.52619617224880388</v>
      </c>
      <c r="I18" s="212"/>
      <c r="J18" s="204" t="s">
        <v>345</v>
      </c>
      <c r="K18" s="204" t="s">
        <v>280</v>
      </c>
      <c r="L18" s="204"/>
      <c r="M18" s="204"/>
      <c r="N18" s="204"/>
      <c r="O18" s="204"/>
      <c r="P18" s="204"/>
      <c r="Q18" s="204"/>
      <c r="R18" s="204"/>
      <c r="S18" s="154">
        <v>3</v>
      </c>
      <c r="T18" s="212">
        <f>S18*Personnel!Q14</f>
        <v>43.411184210526315</v>
      </c>
      <c r="U18" s="212">
        <f>S18*Personnel!R14</f>
        <v>0.39464712918660294</v>
      </c>
      <c r="V18" s="154" t="s">
        <v>507</v>
      </c>
      <c r="W18" s="154">
        <v>7</v>
      </c>
      <c r="X18" s="154"/>
      <c r="Y18" s="154"/>
      <c r="Z18" s="154"/>
      <c r="AA18" s="154"/>
      <c r="AB18" s="154"/>
      <c r="AC18" s="154"/>
      <c r="AD18" s="154"/>
      <c r="AE18" s="154"/>
      <c r="AF18" s="154"/>
      <c r="AG18" s="154"/>
      <c r="AH18" s="204" t="s">
        <v>342</v>
      </c>
      <c r="AI18" s="204" t="s">
        <v>17</v>
      </c>
      <c r="AJ18" s="154">
        <v>1</v>
      </c>
      <c r="AK18" s="212">
        <f>AJ18*Personnel!Q16</f>
        <v>12.825657894736842</v>
      </c>
      <c r="AL18" s="212">
        <f>AJ18*Personnel!R16</f>
        <v>0.11659688995215312</v>
      </c>
      <c r="AM18" s="213"/>
      <c r="AN18" s="213"/>
    </row>
    <row r="19" spans="1:44" ht="14.5" customHeight="1">
      <c r="A19" s="154" t="s">
        <v>341</v>
      </c>
      <c r="B19" s="154"/>
      <c r="C19" s="204" t="s">
        <v>280</v>
      </c>
      <c r="D19" s="154">
        <v>5</v>
      </c>
      <c r="E19" s="154"/>
      <c r="F19" s="212">
        <f>D19*Personnel!Q15</f>
        <v>90.027412280701753</v>
      </c>
      <c r="G19" s="212"/>
      <c r="H19" s="212">
        <f>D19*Personnel!R15</f>
        <v>0.81843102073365215</v>
      </c>
      <c r="I19" s="212"/>
      <c r="J19" s="154" t="s">
        <v>346</v>
      </c>
      <c r="K19" s="204" t="s">
        <v>280</v>
      </c>
      <c r="L19" s="204"/>
      <c r="M19" s="204"/>
      <c r="N19" s="204"/>
      <c r="O19" s="204"/>
      <c r="P19" s="204"/>
      <c r="Q19" s="204"/>
      <c r="R19" s="204"/>
      <c r="S19" s="154">
        <v>2</v>
      </c>
      <c r="T19" s="212">
        <f>S19*Personnel!Q14</f>
        <v>28.940789473684212</v>
      </c>
      <c r="U19" s="212">
        <f>S19*Personnel!R14</f>
        <v>0.26309808612440194</v>
      </c>
      <c r="V19" s="154" t="s">
        <v>508</v>
      </c>
      <c r="W19" s="154">
        <v>12</v>
      </c>
      <c r="X19" s="154"/>
      <c r="Y19" s="154"/>
      <c r="Z19" s="154"/>
      <c r="AA19" s="154"/>
      <c r="AB19" s="154"/>
      <c r="AC19" s="154"/>
      <c r="AD19" s="154"/>
      <c r="AE19" s="154"/>
      <c r="AF19" s="154"/>
      <c r="AG19" s="154"/>
      <c r="AH19" s="204" t="s">
        <v>339</v>
      </c>
      <c r="AI19" s="204" t="s">
        <v>17</v>
      </c>
      <c r="AJ19" s="154">
        <v>3</v>
      </c>
      <c r="AK19" s="212">
        <f>AJ19*Personnel!Q16</f>
        <v>38.476973684210527</v>
      </c>
      <c r="AL19" s="212">
        <f>AJ19*Personnel!R16</f>
        <v>0.34979066985645935</v>
      </c>
      <c r="AM19" s="213"/>
      <c r="AN19" s="213"/>
    </row>
    <row r="20" spans="1:44" ht="14.5" customHeight="1">
      <c r="A20" s="211" t="s">
        <v>531</v>
      </c>
      <c r="B20" s="211"/>
      <c r="C20" s="211"/>
      <c r="D20" s="208">
        <f>SUM(D15:D19)</f>
        <v>21</v>
      </c>
      <c r="E20" s="208"/>
      <c r="F20" s="229">
        <f>SUM(F15:F19)</f>
        <v>301.81688596491227</v>
      </c>
      <c r="G20" s="229"/>
      <c r="H20" s="229">
        <f>SUM(H15:H19)</f>
        <v>2.7437898724082932</v>
      </c>
      <c r="I20" s="229"/>
      <c r="J20" s="208"/>
      <c r="K20" s="208"/>
      <c r="L20" s="208"/>
      <c r="M20" s="208"/>
      <c r="N20" s="208"/>
      <c r="O20" s="208"/>
      <c r="P20" s="208"/>
      <c r="Q20" s="208"/>
      <c r="R20" s="208"/>
      <c r="S20" s="208">
        <f>SUM(S15:S19)</f>
        <v>11</v>
      </c>
      <c r="T20" s="229">
        <f>SUM(T15:T19)</f>
        <v>159.17434210526318</v>
      </c>
      <c r="U20" s="229">
        <f>SUM(U15:U19)</f>
        <v>1.4470394736842107</v>
      </c>
      <c r="V20" s="208"/>
      <c r="W20" s="208"/>
      <c r="X20" s="208">
        <f>SUM(X15:X19)</f>
        <v>3</v>
      </c>
      <c r="Y20" s="208"/>
      <c r="Z20" s="208"/>
      <c r="AA20" s="208"/>
      <c r="AB20" s="208"/>
      <c r="AC20" s="208"/>
      <c r="AD20" s="229"/>
      <c r="AE20" s="229"/>
      <c r="AF20" s="229">
        <f>SUM(AF15:AF17)</f>
        <v>3646.5394736842109</v>
      </c>
      <c r="AG20" s="229">
        <f>SUM(AG15:AG17)</f>
        <v>33.150358851674646</v>
      </c>
      <c r="AH20" s="208"/>
      <c r="AI20" s="208"/>
      <c r="AJ20" s="208">
        <f>SUM(AJ15:AJ19)</f>
        <v>13</v>
      </c>
      <c r="AK20" s="229">
        <f>SUM(AK15:AK19)</f>
        <v>173.31250000000003</v>
      </c>
      <c r="AL20" s="229">
        <f>SUM(AL15:AL19)</f>
        <v>1.5755681818181819</v>
      </c>
      <c r="AM20" s="229">
        <f>SUM(F20+T20+AF20+AG20)</f>
        <v>4140.6810606060608</v>
      </c>
      <c r="AN20" s="229">
        <f>AM20/S2</f>
        <v>37.642555096418732</v>
      </c>
      <c r="AO20" s="134"/>
    </row>
    <row r="21" spans="1:44" ht="14.5" customHeight="1">
      <c r="A21" s="216"/>
      <c r="B21" s="217"/>
      <c r="C21" s="218"/>
      <c r="D21" s="219"/>
      <c r="E21" s="219"/>
      <c r="F21" s="220" t="s">
        <v>528</v>
      </c>
      <c r="G21" s="220"/>
      <c r="H21" s="220">
        <v>0.45</v>
      </c>
      <c r="I21" s="220"/>
      <c r="J21" s="209"/>
      <c r="K21" s="209"/>
      <c r="L21" s="209"/>
      <c r="M21" s="209"/>
      <c r="N21" s="209"/>
      <c r="O21" s="209"/>
      <c r="P21" s="209"/>
      <c r="Q21" s="209"/>
      <c r="R21" s="209"/>
      <c r="S21" s="214" t="s">
        <v>533</v>
      </c>
      <c r="T21" s="214">
        <v>0.55000000000000004</v>
      </c>
      <c r="U21" s="214"/>
      <c r="V21" s="209"/>
      <c r="W21" s="209"/>
      <c r="X21" s="214"/>
      <c r="Y21" s="214"/>
      <c r="Z21" s="214"/>
      <c r="AA21" s="214"/>
      <c r="AB21" s="214"/>
      <c r="AC21" s="214"/>
      <c r="AD21" s="214"/>
      <c r="AE21" s="209"/>
      <c r="AF21" s="209"/>
      <c r="AG21" s="209"/>
      <c r="AH21" s="209"/>
      <c r="AI21" s="209"/>
      <c r="AJ21" s="214"/>
      <c r="AK21" s="214"/>
      <c r="AL21" s="209"/>
      <c r="AM21" s="209"/>
      <c r="AN21" s="209"/>
      <c r="AO21" s="152"/>
      <c r="AP21" s="152"/>
      <c r="AQ21" s="152"/>
      <c r="AR21" s="152"/>
    </row>
    <row r="22" spans="1:44" ht="18" customHeight="1">
      <c r="A22" s="216" t="s">
        <v>539</v>
      </c>
      <c r="B22" s="216"/>
      <c r="C22" s="782" t="s">
        <v>529</v>
      </c>
      <c r="D22" s="783"/>
      <c r="E22" s="221"/>
      <c r="F22" s="773" t="s">
        <v>530</v>
      </c>
      <c r="G22" s="784"/>
      <c r="H22" s="774"/>
      <c r="I22" s="222"/>
      <c r="J22" s="209" t="s">
        <v>532</v>
      </c>
      <c r="K22" s="209"/>
      <c r="L22" s="592"/>
      <c r="M22" s="592"/>
      <c r="N22" s="592"/>
      <c r="O22" s="592"/>
      <c r="P22" s="592"/>
      <c r="Q22" s="592"/>
      <c r="R22" s="592"/>
      <c r="S22" s="785" t="s">
        <v>534</v>
      </c>
      <c r="T22" s="786"/>
      <c r="U22" s="787" t="s">
        <v>514</v>
      </c>
      <c r="V22" s="788"/>
      <c r="W22" s="782" t="s">
        <v>516</v>
      </c>
      <c r="X22" s="783"/>
      <c r="Y22" s="214"/>
      <c r="Z22" s="214"/>
      <c r="AA22" s="214"/>
      <c r="AB22" s="214"/>
      <c r="AC22" s="214"/>
      <c r="AD22" s="214"/>
      <c r="AE22" s="209"/>
      <c r="AF22" s="209"/>
      <c r="AG22" s="209"/>
      <c r="AH22" s="209"/>
      <c r="AI22" s="209"/>
      <c r="AJ22" s="214"/>
      <c r="AK22" s="214"/>
      <c r="AL22" s="209"/>
      <c r="AM22" s="209"/>
      <c r="AN22" s="209"/>
      <c r="AO22" s="152"/>
      <c r="AP22" s="152"/>
      <c r="AQ22" s="152"/>
      <c r="AR22" s="152"/>
    </row>
    <row r="23" spans="1:44" ht="14.5" customHeight="1">
      <c r="A23" s="216"/>
      <c r="B23" s="216" t="s">
        <v>513</v>
      </c>
      <c r="C23" s="210" t="s">
        <v>233</v>
      </c>
      <c r="D23" s="210" t="s">
        <v>32</v>
      </c>
      <c r="E23" s="210"/>
      <c r="F23" s="210" t="s">
        <v>233</v>
      </c>
      <c r="G23" s="210"/>
      <c r="H23" s="209" t="s">
        <v>388</v>
      </c>
      <c r="I23" s="209"/>
      <c r="J23" s="209" t="s">
        <v>233</v>
      </c>
      <c r="K23" s="209" t="s">
        <v>32</v>
      </c>
      <c r="L23" s="209"/>
      <c r="M23" s="209"/>
      <c r="N23" s="209"/>
      <c r="O23" s="209"/>
      <c r="P23" s="209"/>
      <c r="Q23" s="209"/>
      <c r="R23" s="209"/>
      <c r="S23" s="214" t="s">
        <v>233</v>
      </c>
      <c r="T23" s="214" t="s">
        <v>388</v>
      </c>
      <c r="U23" s="214" t="s">
        <v>233</v>
      </c>
      <c r="V23" s="209" t="s">
        <v>32</v>
      </c>
      <c r="W23" s="209" t="s">
        <v>233</v>
      </c>
      <c r="X23" s="214" t="s">
        <v>32</v>
      </c>
      <c r="Y23" s="214"/>
      <c r="Z23" s="214"/>
      <c r="AA23" s="214"/>
      <c r="AB23" s="214"/>
      <c r="AC23" s="214"/>
      <c r="AD23" s="214"/>
      <c r="AE23" s="209"/>
      <c r="AF23" s="209"/>
      <c r="AG23" s="209"/>
      <c r="AH23" s="209"/>
      <c r="AI23" s="209"/>
      <c r="AJ23" s="214"/>
      <c r="AK23" s="214"/>
      <c r="AL23" s="209"/>
      <c r="AM23" s="209"/>
      <c r="AN23" s="209"/>
      <c r="AO23" s="152"/>
      <c r="AP23" s="152"/>
      <c r="AQ23" s="152"/>
      <c r="AR23" s="152"/>
    </row>
    <row r="24" spans="1:44" ht="14.5" customHeight="1">
      <c r="A24" s="204" t="s">
        <v>493</v>
      </c>
      <c r="B24" s="204">
        <v>142</v>
      </c>
      <c r="C24" s="223">
        <f>F11</f>
        <v>229.54934210526318</v>
      </c>
      <c r="D24" s="223">
        <f>H11</f>
        <v>2.0868122009569379</v>
      </c>
      <c r="E24" s="223"/>
      <c r="F24" s="224">
        <f>B24*C24*H21</f>
        <v>14668.202960526316</v>
      </c>
      <c r="G24" s="224"/>
      <c r="H24" s="225">
        <f>F24/S2</f>
        <v>133.34729964114834</v>
      </c>
      <c r="I24" s="225"/>
      <c r="J24" s="225">
        <f>F20</f>
        <v>301.81688596491227</v>
      </c>
      <c r="K24" s="225">
        <f>H20</f>
        <v>2.7437898724082932</v>
      </c>
      <c r="L24" s="225"/>
      <c r="M24" s="225"/>
      <c r="N24" s="225"/>
      <c r="O24" s="225"/>
      <c r="P24" s="225"/>
      <c r="Q24" s="225"/>
      <c r="R24" s="225"/>
      <c r="S24" s="225">
        <f>B24*J24*T21</f>
        <v>23571.898793859651</v>
      </c>
      <c r="T24" s="225">
        <f>S24/S2</f>
        <v>214.28998903508773</v>
      </c>
      <c r="U24" s="212">
        <f t="shared" ref="U24:V27" si="2">SUM(C24+J24)</f>
        <v>531.36622807017545</v>
      </c>
      <c r="V24" s="212">
        <f t="shared" si="2"/>
        <v>4.8306020733652311</v>
      </c>
      <c r="W24" s="212">
        <f>SUM(F24+S24)</f>
        <v>38240.101754385963</v>
      </c>
      <c r="X24" s="212">
        <f>+SUM(H24+T24)</f>
        <v>347.63728867623604</v>
      </c>
      <c r="Y24" s="226"/>
      <c r="Z24" s="226"/>
      <c r="AA24" s="226"/>
      <c r="AB24" s="226"/>
      <c r="AC24" s="226"/>
      <c r="AD24" s="226"/>
      <c r="AE24" s="203"/>
      <c r="AF24" s="203"/>
      <c r="AG24" s="203"/>
      <c r="AH24" s="203"/>
      <c r="AI24" s="203"/>
      <c r="AJ24" s="226"/>
      <c r="AK24" s="226"/>
      <c r="AL24" s="203"/>
      <c r="AM24" s="227"/>
      <c r="AN24" s="227"/>
      <c r="AO24" s="152"/>
      <c r="AP24" s="152"/>
      <c r="AQ24" s="152"/>
      <c r="AR24" s="152"/>
    </row>
    <row r="25" spans="1:44" ht="14.5" customHeight="1">
      <c r="A25" s="204" t="s">
        <v>494</v>
      </c>
      <c r="B25" s="204">
        <v>123</v>
      </c>
      <c r="C25" s="223">
        <f>T11</f>
        <v>130.23355263157896</v>
      </c>
      <c r="D25" s="223">
        <f>U11</f>
        <v>1.1839413875598088</v>
      </c>
      <c r="E25" s="223"/>
      <c r="F25" s="224">
        <f>B25*C25*H21</f>
        <v>7208.4271381578956</v>
      </c>
      <c r="G25" s="224"/>
      <c r="H25" s="225">
        <f>F25/S2</f>
        <v>65.531155801435418</v>
      </c>
      <c r="I25" s="225"/>
      <c r="J25" s="225">
        <f>T20</f>
        <v>159.17434210526318</v>
      </c>
      <c r="K25" s="225">
        <f>U20</f>
        <v>1.4470394736842107</v>
      </c>
      <c r="L25" s="225"/>
      <c r="M25" s="225"/>
      <c r="N25" s="225"/>
      <c r="O25" s="225"/>
      <c r="P25" s="225"/>
      <c r="Q25" s="225"/>
      <c r="R25" s="225"/>
      <c r="S25" s="225">
        <f>B25*J25*T21</f>
        <v>10768.144243421055</v>
      </c>
      <c r="T25" s="225">
        <f>S25/S2</f>
        <v>97.892220394736867</v>
      </c>
      <c r="U25" s="212">
        <f t="shared" si="2"/>
        <v>289.40789473684214</v>
      </c>
      <c r="V25" s="212">
        <f t="shared" si="2"/>
        <v>2.6309808612440193</v>
      </c>
      <c r="W25" s="212">
        <f>SUM(F25+S25)</f>
        <v>17976.57138157895</v>
      </c>
      <c r="X25" s="212">
        <f>+SUM(H25+T25)</f>
        <v>163.42337619617228</v>
      </c>
      <c r="Y25" s="226"/>
      <c r="Z25" s="226"/>
      <c r="AA25" s="226"/>
      <c r="AB25" s="226"/>
      <c r="AC25" s="226"/>
      <c r="AD25" s="226"/>
      <c r="AE25" s="203"/>
      <c r="AF25" s="203"/>
      <c r="AG25" s="203"/>
      <c r="AH25" s="203"/>
      <c r="AI25" s="203"/>
      <c r="AJ25" s="226"/>
      <c r="AK25" s="226"/>
      <c r="AL25" s="203"/>
      <c r="AM25" s="227"/>
      <c r="AN25" s="227"/>
      <c r="AO25" s="152"/>
      <c r="AP25" s="152"/>
      <c r="AQ25" s="152"/>
      <c r="AR25" s="152"/>
    </row>
    <row r="26" spans="1:44" ht="14.5" customHeight="1">
      <c r="A26" s="204" t="s">
        <v>512</v>
      </c>
      <c r="B26" s="204">
        <v>104</v>
      </c>
      <c r="C26" s="223">
        <f>AF11</f>
        <v>3646.5394736842109</v>
      </c>
      <c r="D26" s="223">
        <f>AG11</f>
        <v>33.150358851674646</v>
      </c>
      <c r="E26" s="223"/>
      <c r="F26" s="224">
        <f>B26*C26*H21</f>
        <v>170658.04736842107</v>
      </c>
      <c r="G26" s="224"/>
      <c r="H26" s="225">
        <f>F26/S2</f>
        <v>1551.4367942583733</v>
      </c>
      <c r="I26" s="225"/>
      <c r="J26" s="225">
        <f>AF20</f>
        <v>3646.5394736842109</v>
      </c>
      <c r="K26" s="225">
        <f>AG20</f>
        <v>33.150358851674646</v>
      </c>
      <c r="L26" s="225"/>
      <c r="M26" s="225"/>
      <c r="N26" s="225"/>
      <c r="O26" s="225"/>
      <c r="P26" s="225"/>
      <c r="Q26" s="225"/>
      <c r="R26" s="225"/>
      <c r="S26" s="225">
        <f>B26*J26*T21</f>
        <v>208582.05789473688</v>
      </c>
      <c r="T26" s="225">
        <f>S26/S2</f>
        <v>1896.2005263157898</v>
      </c>
      <c r="U26" s="212">
        <f t="shared" si="2"/>
        <v>7293.0789473684217</v>
      </c>
      <c r="V26" s="212">
        <f t="shared" si="2"/>
        <v>66.300717703349292</v>
      </c>
      <c r="W26" s="212">
        <f>SUM(F26+S26)</f>
        <v>379240.10526315798</v>
      </c>
      <c r="X26" s="212">
        <f>+SUM(H26+T26)</f>
        <v>3447.6373205741629</v>
      </c>
      <c r="Y26" s="226"/>
      <c r="Z26" s="226"/>
      <c r="AA26" s="226"/>
      <c r="AB26" s="226"/>
      <c r="AC26" s="226"/>
      <c r="AD26" s="226"/>
      <c r="AE26" s="203"/>
      <c r="AF26" s="203"/>
      <c r="AG26" s="203"/>
      <c r="AH26" s="203"/>
      <c r="AI26" s="203"/>
      <c r="AJ26" s="226"/>
      <c r="AK26" s="226"/>
      <c r="AL26" s="203"/>
      <c r="AM26" s="227"/>
      <c r="AN26" s="227"/>
      <c r="AO26" s="152"/>
      <c r="AP26" s="152"/>
      <c r="AQ26" s="152"/>
      <c r="AR26" s="152"/>
    </row>
    <row r="27" spans="1:44" ht="14.5" customHeight="1">
      <c r="A27" s="204" t="s">
        <v>515</v>
      </c>
      <c r="B27" s="204">
        <v>86</v>
      </c>
      <c r="C27" s="223">
        <f>AK11</f>
        <v>160.48684210526318</v>
      </c>
      <c r="D27" s="223">
        <f>AL20</f>
        <v>1.5755681818181819</v>
      </c>
      <c r="E27" s="223"/>
      <c r="F27" s="224">
        <f>B27*C27*H21</f>
        <v>6210.8407894736856</v>
      </c>
      <c r="G27" s="224"/>
      <c r="H27" s="225">
        <f>F27/S2</f>
        <v>56.462188995215321</v>
      </c>
      <c r="I27" s="225"/>
      <c r="J27" s="225">
        <f>AK20</f>
        <v>173.31250000000003</v>
      </c>
      <c r="K27" s="225">
        <f>AL20</f>
        <v>1.5755681818181819</v>
      </c>
      <c r="L27" s="225"/>
      <c r="M27" s="225"/>
      <c r="N27" s="225"/>
      <c r="O27" s="225"/>
      <c r="P27" s="225"/>
      <c r="Q27" s="225"/>
      <c r="R27" s="225"/>
      <c r="S27" s="225">
        <f>B27*J27*T21</f>
        <v>8197.6812500000015</v>
      </c>
      <c r="T27" s="225">
        <f>S27/S2</f>
        <v>74.524375000000006</v>
      </c>
      <c r="U27" s="212">
        <f t="shared" si="2"/>
        <v>333.79934210526324</v>
      </c>
      <c r="V27" s="212">
        <f t="shared" si="2"/>
        <v>3.1511363636363638</v>
      </c>
      <c r="W27" s="212">
        <f>SUM(F27+S27)</f>
        <v>14408.522039473686</v>
      </c>
      <c r="X27" s="212">
        <f>+SUM(H27+T27)</f>
        <v>130.98656399521533</v>
      </c>
      <c r="Y27" s="226"/>
      <c r="Z27" s="226"/>
      <c r="AA27" s="226"/>
      <c r="AB27" s="226"/>
      <c r="AC27" s="226"/>
      <c r="AD27" s="226"/>
      <c r="AE27" s="203"/>
      <c r="AF27" s="203"/>
      <c r="AG27" s="203"/>
      <c r="AH27" s="203"/>
      <c r="AI27" s="203"/>
      <c r="AJ27" s="226"/>
      <c r="AK27" s="226"/>
      <c r="AL27" s="203"/>
      <c r="AM27" s="227"/>
      <c r="AN27" s="227"/>
      <c r="AO27" s="152"/>
      <c r="AP27" s="152"/>
      <c r="AQ27" s="152"/>
      <c r="AR27" s="152"/>
    </row>
    <row r="28" spans="1:44" ht="14.5" customHeight="1">
      <c r="A28" s="211" t="s">
        <v>20</v>
      </c>
      <c r="B28" s="211"/>
      <c r="C28" s="419">
        <f>AM11</f>
        <v>4039.4727272727278</v>
      </c>
      <c r="D28" s="229">
        <f>AN11</f>
        <v>36.72247933884298</v>
      </c>
      <c r="E28" s="229"/>
      <c r="F28" s="419">
        <f>SUM(F24:F27)</f>
        <v>198745.51825657894</v>
      </c>
      <c r="G28" s="419"/>
      <c r="H28" s="419">
        <f>SUM(H24:H27)</f>
        <v>1806.7774386961723</v>
      </c>
      <c r="I28" s="419"/>
      <c r="J28" s="419">
        <f t="shared" ref="J28:X28" si="3">SUM(J24:J27)</f>
        <v>4280.8432017543864</v>
      </c>
      <c r="K28" s="419">
        <f t="shared" si="3"/>
        <v>38.916756379585337</v>
      </c>
      <c r="L28" s="419"/>
      <c r="M28" s="419"/>
      <c r="N28" s="419"/>
      <c r="O28" s="419"/>
      <c r="P28" s="419"/>
      <c r="Q28" s="419"/>
      <c r="R28" s="419"/>
      <c r="S28" s="419">
        <f t="shared" si="3"/>
        <v>251119.78218201757</v>
      </c>
      <c r="T28" s="419">
        <f t="shared" si="3"/>
        <v>2282.9071107456143</v>
      </c>
      <c r="U28" s="419">
        <f t="shared" si="3"/>
        <v>8447.6524122807023</v>
      </c>
      <c r="V28" s="419">
        <f t="shared" si="3"/>
        <v>76.913437001594914</v>
      </c>
      <c r="W28" s="419">
        <f t="shared" si="3"/>
        <v>449865.30043859658</v>
      </c>
      <c r="X28" s="419">
        <f t="shared" si="3"/>
        <v>4089.6845494417867</v>
      </c>
      <c r="Y28" s="208"/>
      <c r="Z28" s="208"/>
      <c r="AA28" s="208"/>
      <c r="AB28" s="208"/>
      <c r="AC28" s="208"/>
      <c r="AD28" s="229"/>
      <c r="AE28" s="229"/>
      <c r="AF28" s="229"/>
      <c r="AG28" s="229"/>
      <c r="AH28" s="208"/>
      <c r="AI28" s="208"/>
      <c r="AJ28" s="208"/>
      <c r="AK28" s="229"/>
      <c r="AL28" s="229"/>
      <c r="AM28" s="229"/>
      <c r="AN28" s="229"/>
      <c r="AO28" s="150"/>
      <c r="AP28" s="151"/>
      <c r="AQ28" s="151"/>
      <c r="AR28" s="151"/>
    </row>
    <row r="29" spans="1:44" ht="15.5" customHeight="1">
      <c r="A29" s="228" t="s">
        <v>526</v>
      </c>
      <c r="B29" s="228"/>
      <c r="C29" s="228" t="s">
        <v>23</v>
      </c>
      <c r="D29" s="228" t="s">
        <v>378</v>
      </c>
      <c r="E29" s="228"/>
      <c r="F29" s="464"/>
      <c r="G29" s="464"/>
      <c r="H29" s="228"/>
      <c r="I29" s="228"/>
      <c r="J29" s="464"/>
      <c r="K29" s="228"/>
      <c r="L29" s="228"/>
      <c r="M29" s="228"/>
      <c r="N29" s="228"/>
      <c r="O29" s="228"/>
      <c r="P29" s="228"/>
      <c r="Q29" s="228"/>
      <c r="R29" s="228"/>
      <c r="S29" s="464"/>
      <c r="T29" s="228"/>
      <c r="U29" s="464"/>
      <c r="V29" s="228"/>
      <c r="W29" s="464"/>
      <c r="X29" s="285"/>
      <c r="Y29" s="285"/>
      <c r="Z29" s="285"/>
      <c r="AA29" s="285"/>
      <c r="AB29" s="285"/>
      <c r="AC29" s="285"/>
      <c r="AD29" s="285"/>
      <c r="AE29" s="285"/>
      <c r="AF29" s="285"/>
      <c r="AG29" s="285"/>
      <c r="AH29" s="285"/>
      <c r="AI29" s="285"/>
      <c r="AJ29" s="285"/>
      <c r="AK29" s="285"/>
      <c r="AL29" s="285"/>
      <c r="AM29" s="285"/>
      <c r="AN29" s="285"/>
      <c r="AO29" s="134"/>
    </row>
    <row r="30" spans="1:44" ht="17.5" customHeight="1">
      <c r="A30" s="154" t="s">
        <v>27</v>
      </c>
      <c r="B30" s="154"/>
      <c r="C30" s="154">
        <v>24</v>
      </c>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34"/>
    </row>
    <row r="31" spans="1:44" ht="18.5" customHeight="1">
      <c r="A31" s="154" t="s">
        <v>26</v>
      </c>
      <c r="B31" s="154"/>
      <c r="C31" s="154">
        <v>3</v>
      </c>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34"/>
    </row>
    <row r="32" spans="1:44" ht="15.5">
      <c r="A32" s="154" t="s">
        <v>25</v>
      </c>
      <c r="B32" s="154"/>
      <c r="C32" s="154">
        <v>25</v>
      </c>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34"/>
    </row>
    <row r="33" spans="1:41" ht="15.5">
      <c r="A33" s="154" t="s">
        <v>28</v>
      </c>
      <c r="B33" s="154"/>
      <c r="C33" s="154">
        <v>3</v>
      </c>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34"/>
    </row>
    <row r="34" spans="1:41" ht="17.5" customHeight="1">
      <c r="A34" s="208" t="s">
        <v>518</v>
      </c>
      <c r="B34" s="208"/>
      <c r="C34" s="208">
        <f>SUM(C30:C33)</f>
        <v>55</v>
      </c>
      <c r="D34" s="229">
        <f>C34/C41</f>
        <v>0.44715447154471544</v>
      </c>
      <c r="E34" s="229"/>
      <c r="F34" s="229"/>
      <c r="G34" s="229"/>
      <c r="H34" s="229"/>
      <c r="I34" s="229"/>
      <c r="J34" s="229"/>
      <c r="K34" s="229"/>
      <c r="L34" s="229"/>
      <c r="M34" s="229"/>
      <c r="N34" s="229"/>
      <c r="O34" s="229"/>
      <c r="P34" s="229"/>
      <c r="Q34" s="229"/>
      <c r="R34" s="229"/>
      <c r="S34" s="229"/>
      <c r="T34" s="229"/>
      <c r="U34" s="229"/>
      <c r="V34" s="229"/>
      <c r="W34" s="229"/>
      <c r="X34" s="230"/>
      <c r="Y34" s="230"/>
      <c r="Z34" s="230"/>
      <c r="AA34" s="230"/>
      <c r="AB34" s="230"/>
      <c r="AC34" s="230"/>
      <c r="AD34" s="230"/>
      <c r="AE34" s="230"/>
      <c r="AF34" s="230"/>
      <c r="AG34" s="230"/>
      <c r="AH34" s="230"/>
      <c r="AI34" s="230"/>
      <c r="AJ34" s="230"/>
      <c r="AK34" s="230"/>
      <c r="AL34" s="230"/>
      <c r="AM34" s="230"/>
      <c r="AN34" s="230"/>
      <c r="AO34" s="134"/>
    </row>
    <row r="35" spans="1:41" ht="17.5" customHeight="1">
      <c r="A35" s="228" t="s">
        <v>527</v>
      </c>
      <c r="B35" s="228"/>
      <c r="C35" s="228"/>
      <c r="D35" s="284"/>
      <c r="E35" s="284"/>
      <c r="F35" s="284"/>
      <c r="G35" s="284"/>
      <c r="H35" s="284"/>
      <c r="I35" s="284"/>
      <c r="J35" s="284"/>
      <c r="K35" s="284"/>
      <c r="L35" s="284"/>
      <c r="M35" s="284"/>
      <c r="N35" s="284"/>
      <c r="O35" s="284"/>
      <c r="P35" s="284"/>
      <c r="Q35" s="284"/>
      <c r="R35" s="284"/>
      <c r="S35" s="284"/>
      <c r="T35" s="284"/>
      <c r="U35" s="284"/>
      <c r="V35" s="284"/>
      <c r="W35" s="284"/>
      <c r="X35" s="285"/>
      <c r="Y35" s="285"/>
      <c r="Z35" s="285"/>
      <c r="AA35" s="285"/>
      <c r="AB35" s="285"/>
      <c r="AC35" s="285"/>
      <c r="AD35" s="285"/>
      <c r="AE35" s="285"/>
      <c r="AF35" s="285"/>
      <c r="AG35" s="285"/>
      <c r="AH35" s="285"/>
      <c r="AI35" s="285"/>
      <c r="AJ35" s="285"/>
      <c r="AK35" s="285"/>
      <c r="AL35" s="285"/>
      <c r="AM35" s="285"/>
      <c r="AN35" s="285"/>
      <c r="AO35" s="134"/>
    </row>
    <row r="36" spans="1:41" ht="15.5">
      <c r="A36" s="154" t="s">
        <v>359</v>
      </c>
      <c r="B36" s="154"/>
      <c r="C36" s="154">
        <v>14</v>
      </c>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34"/>
    </row>
    <row r="37" spans="1:41" ht="14.5" customHeight="1">
      <c r="A37" s="154" t="s">
        <v>360</v>
      </c>
      <c r="B37" s="154"/>
      <c r="C37" s="154">
        <v>32</v>
      </c>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34"/>
    </row>
    <row r="38" spans="1:41" ht="14.5" customHeight="1">
      <c r="A38" s="154" t="s">
        <v>361</v>
      </c>
      <c r="B38" s="154"/>
      <c r="C38" s="154">
        <v>12</v>
      </c>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34"/>
    </row>
    <row r="39" spans="1:41" ht="17.5" customHeight="1">
      <c r="A39" s="154" t="s">
        <v>362</v>
      </c>
      <c r="B39" s="154"/>
      <c r="C39" s="154">
        <v>10</v>
      </c>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34"/>
    </row>
    <row r="40" spans="1:41" ht="15.5" customHeight="1">
      <c r="A40" s="208" t="s">
        <v>543</v>
      </c>
      <c r="B40" s="208"/>
      <c r="C40" s="208">
        <f>SUM(C36:C39)</f>
        <v>68</v>
      </c>
      <c r="D40" s="229">
        <f>C40/C41</f>
        <v>0.55284552845528456</v>
      </c>
      <c r="E40" s="229"/>
      <c r="F40" s="229"/>
      <c r="G40" s="229"/>
      <c r="H40" s="229"/>
      <c r="I40" s="229"/>
      <c r="J40" s="229"/>
      <c r="K40" s="229"/>
      <c r="L40" s="229"/>
      <c r="M40" s="229"/>
      <c r="N40" s="229"/>
      <c r="O40" s="229"/>
      <c r="P40" s="229"/>
      <c r="Q40" s="229"/>
      <c r="R40" s="229"/>
      <c r="S40" s="229"/>
      <c r="T40" s="229"/>
      <c r="U40" s="229"/>
      <c r="V40" s="229"/>
      <c r="W40" s="229"/>
      <c r="X40" s="230"/>
      <c r="Y40" s="230"/>
      <c r="Z40" s="230"/>
      <c r="AA40" s="230"/>
      <c r="AB40" s="230"/>
      <c r="AC40" s="230"/>
      <c r="AD40" s="230"/>
      <c r="AE40" s="230"/>
      <c r="AF40" s="230"/>
      <c r="AG40" s="230"/>
      <c r="AH40" s="230"/>
      <c r="AI40" s="230"/>
      <c r="AJ40" s="230"/>
      <c r="AK40" s="230"/>
      <c r="AL40" s="230"/>
      <c r="AM40" s="230"/>
      <c r="AN40" s="230"/>
      <c r="AO40" s="134"/>
    </row>
    <row r="41" spans="1:41" ht="15.5">
      <c r="A41" s="211" t="s">
        <v>364</v>
      </c>
      <c r="B41" s="211"/>
      <c r="C41" s="208">
        <f>SUM(C34+C40)</f>
        <v>123</v>
      </c>
      <c r="D41" s="229"/>
      <c r="E41" s="229"/>
      <c r="F41" s="229"/>
      <c r="G41" s="229"/>
      <c r="H41" s="229"/>
      <c r="I41" s="229"/>
      <c r="J41" s="229"/>
      <c r="K41" s="229"/>
      <c r="L41" s="229"/>
      <c r="M41" s="229"/>
      <c r="N41" s="229"/>
      <c r="O41" s="229"/>
      <c r="P41" s="229"/>
      <c r="Q41" s="229"/>
      <c r="R41" s="229"/>
      <c r="S41" s="229"/>
      <c r="T41" s="229"/>
      <c r="U41" s="229"/>
      <c r="V41" s="229"/>
      <c r="W41" s="229"/>
      <c r="X41" s="230"/>
      <c r="Y41" s="230"/>
      <c r="Z41" s="230"/>
      <c r="AA41" s="230"/>
      <c r="AB41" s="230"/>
      <c r="AC41" s="230"/>
      <c r="AD41" s="230"/>
      <c r="AE41" s="230"/>
      <c r="AF41" s="230"/>
      <c r="AG41" s="230"/>
      <c r="AH41" s="230"/>
      <c r="AI41" s="230"/>
      <c r="AJ41" s="230"/>
      <c r="AK41" s="230"/>
      <c r="AL41" s="230"/>
      <c r="AM41" s="230"/>
      <c r="AN41" s="230"/>
      <c r="AO41" s="134"/>
    </row>
    <row r="42" spans="1:41" ht="15.5">
      <c r="A42" s="209" t="s">
        <v>547</v>
      </c>
      <c r="B42" s="209" t="s">
        <v>23</v>
      </c>
      <c r="C42" s="209" t="s">
        <v>363</v>
      </c>
      <c r="D42" s="209"/>
      <c r="E42" s="209" t="s">
        <v>23</v>
      </c>
      <c r="F42" s="210" t="s">
        <v>17</v>
      </c>
      <c r="G42" s="210"/>
      <c r="H42" s="209"/>
      <c r="I42" s="209" t="s">
        <v>23</v>
      </c>
      <c r="J42" s="210" t="s">
        <v>466</v>
      </c>
      <c r="K42" s="163"/>
      <c r="L42" s="595"/>
      <c r="M42" s="773" t="s">
        <v>550</v>
      </c>
      <c r="N42" s="774"/>
      <c r="O42" s="773" t="s">
        <v>14</v>
      </c>
      <c r="P42" s="775"/>
      <c r="Q42" s="773" t="s">
        <v>546</v>
      </c>
      <c r="R42" s="774"/>
      <c r="S42" s="209" t="s">
        <v>548</v>
      </c>
      <c r="T42" s="773" t="s">
        <v>280</v>
      </c>
      <c r="U42" s="774"/>
      <c r="V42" s="773" t="s">
        <v>17</v>
      </c>
      <c r="W42" s="774"/>
      <c r="X42" s="773" t="s">
        <v>254</v>
      </c>
      <c r="Y42" s="774"/>
      <c r="Z42" s="773" t="s">
        <v>550</v>
      </c>
      <c r="AA42" s="774"/>
      <c r="AB42" s="773" t="s">
        <v>14</v>
      </c>
      <c r="AC42" s="774"/>
      <c r="AD42" s="773" t="s">
        <v>549</v>
      </c>
      <c r="AE42" s="774"/>
      <c r="AF42" s="163"/>
      <c r="AG42" s="163"/>
      <c r="AH42" s="163"/>
      <c r="AI42" s="163"/>
      <c r="AJ42" s="163"/>
      <c r="AK42" s="163"/>
      <c r="AL42" s="163"/>
      <c r="AM42" s="163"/>
      <c r="AN42" s="163"/>
      <c r="AO42" s="134"/>
    </row>
    <row r="43" spans="1:41" ht="16.5" customHeight="1">
      <c r="A43" s="163"/>
      <c r="B43" s="163"/>
      <c r="C43" s="209" t="s">
        <v>233</v>
      </c>
      <c r="D43" s="209" t="s">
        <v>32</v>
      </c>
      <c r="E43" s="209"/>
      <c r="F43" s="210" t="s">
        <v>233</v>
      </c>
      <c r="G43" s="210"/>
      <c r="H43" s="209" t="s">
        <v>32</v>
      </c>
      <c r="I43" s="209"/>
      <c r="J43" s="209" t="s">
        <v>233</v>
      </c>
      <c r="K43" s="209" t="s">
        <v>32</v>
      </c>
      <c r="L43" s="209"/>
      <c r="M43" s="209" t="s">
        <v>233</v>
      </c>
      <c r="N43" s="209" t="s">
        <v>32</v>
      </c>
      <c r="O43" s="209" t="s">
        <v>233</v>
      </c>
      <c r="P43" s="209" t="s">
        <v>32</v>
      </c>
      <c r="Q43" s="209" t="s">
        <v>233</v>
      </c>
      <c r="R43" s="209" t="s">
        <v>32</v>
      </c>
      <c r="S43" s="163"/>
      <c r="T43" s="209" t="s">
        <v>233</v>
      </c>
      <c r="U43" s="209" t="s">
        <v>32</v>
      </c>
      <c r="V43" s="209" t="s">
        <v>233</v>
      </c>
      <c r="W43" s="209" t="s">
        <v>32</v>
      </c>
      <c r="X43" s="209" t="s">
        <v>233</v>
      </c>
      <c r="Y43" s="209" t="s">
        <v>32</v>
      </c>
      <c r="Z43" s="209" t="s">
        <v>233</v>
      </c>
      <c r="AA43" s="209" t="s">
        <v>32</v>
      </c>
      <c r="AB43" s="209" t="s">
        <v>233</v>
      </c>
      <c r="AC43" s="209" t="s">
        <v>32</v>
      </c>
      <c r="AD43" s="209" t="s">
        <v>233</v>
      </c>
      <c r="AE43" s="209" t="s">
        <v>32</v>
      </c>
      <c r="AF43" s="163"/>
      <c r="AG43" s="163"/>
      <c r="AH43" s="163"/>
      <c r="AI43" s="163"/>
      <c r="AJ43" s="163"/>
      <c r="AK43" s="163"/>
      <c r="AL43" s="163"/>
      <c r="AM43" s="163"/>
      <c r="AN43" s="163"/>
      <c r="AO43" s="134"/>
    </row>
    <row r="44" spans="1:41" ht="16.5" customHeight="1">
      <c r="A44" s="228" t="s">
        <v>10</v>
      </c>
      <c r="B44" s="285"/>
      <c r="C44" s="228"/>
      <c r="D44" s="228"/>
      <c r="E44" s="228"/>
      <c r="F44" s="464"/>
      <c r="G44" s="464"/>
      <c r="H44" s="228"/>
      <c r="I44" s="228"/>
      <c r="J44" s="228"/>
      <c r="K44" s="228"/>
      <c r="L44" s="228"/>
      <c r="M44" s="228"/>
      <c r="N44" s="228"/>
      <c r="O44" s="228"/>
      <c r="P44" s="228"/>
      <c r="Q44" s="228"/>
      <c r="R44" s="228"/>
      <c r="S44" s="228" t="s">
        <v>537</v>
      </c>
      <c r="T44" s="285"/>
      <c r="U44" s="285"/>
      <c r="V44" s="285"/>
      <c r="W44" s="285"/>
      <c r="X44" s="285"/>
      <c r="Y44" s="285"/>
      <c r="Z44" s="285"/>
      <c r="AA44" s="285"/>
      <c r="AB44" s="285"/>
      <c r="AC44" s="285"/>
      <c r="AD44" s="285"/>
      <c r="AE44" s="285"/>
      <c r="AF44" s="285"/>
      <c r="AG44" s="285"/>
      <c r="AH44" s="285"/>
      <c r="AI44" s="285"/>
      <c r="AJ44" s="285"/>
      <c r="AK44" s="285"/>
      <c r="AL44" s="285"/>
      <c r="AM44" s="285"/>
      <c r="AN44" s="285"/>
      <c r="AO44" s="134"/>
    </row>
    <row r="45" spans="1:41" ht="14.5" customHeight="1">
      <c r="A45" s="213" t="s">
        <v>334</v>
      </c>
      <c r="B45" s="213"/>
      <c r="C45" s="225">
        <f>SUM(F9+F10)</f>
        <v>101.29276315789474</v>
      </c>
      <c r="D45" s="225">
        <f>C45/S2</f>
        <v>0.92084330143540671</v>
      </c>
      <c r="E45" s="213"/>
      <c r="F45" s="225">
        <f>SUM(F6+F7+F8)</f>
        <v>128.25657894736844</v>
      </c>
      <c r="G45" s="225"/>
      <c r="H45" s="225">
        <f>F45/S2</f>
        <v>1.1659688995215312</v>
      </c>
      <c r="I45" s="213"/>
      <c r="J45" s="225"/>
      <c r="K45" s="225"/>
      <c r="L45" s="225"/>
      <c r="M45" s="225"/>
      <c r="N45" s="225"/>
      <c r="O45" s="225"/>
      <c r="P45" s="225"/>
      <c r="Q45" s="225"/>
      <c r="R45" s="225"/>
      <c r="S45" s="232">
        <f>B24*D34</f>
        <v>63.49593495934959</v>
      </c>
      <c r="T45" s="212">
        <f>C45*S45</f>
        <v>6431.6787013264866</v>
      </c>
      <c r="U45" s="225">
        <f>T45/S2</f>
        <v>58.469806375695335</v>
      </c>
      <c r="V45" s="212">
        <f>F45*S45</f>
        <v>8143.7713949507925</v>
      </c>
      <c r="W45" s="225">
        <f>V45/S2</f>
        <v>74.034285408643569</v>
      </c>
      <c r="X45" s="154"/>
      <c r="Y45" s="154"/>
      <c r="Z45" s="154"/>
      <c r="AA45" s="154"/>
      <c r="AB45" s="154"/>
      <c r="AC45" s="154"/>
      <c r="AD45" s="154"/>
      <c r="AE45" s="154"/>
      <c r="AF45" s="154"/>
      <c r="AG45" s="154"/>
      <c r="AH45" s="154"/>
      <c r="AI45" s="154"/>
      <c r="AJ45" s="154"/>
      <c r="AK45" s="154"/>
      <c r="AL45" s="154"/>
      <c r="AM45" s="154"/>
      <c r="AN45" s="154"/>
      <c r="AO45" s="134"/>
    </row>
    <row r="46" spans="1:41" ht="14.5" customHeight="1">
      <c r="A46" s="213" t="s">
        <v>519</v>
      </c>
      <c r="B46" s="213"/>
      <c r="C46" s="225">
        <f>SUM(T6+T7+T8+T9+T10)</f>
        <v>130.23355263157896</v>
      </c>
      <c r="D46" s="225">
        <f>C46/S2</f>
        <v>1.1839413875598088</v>
      </c>
      <c r="E46" s="213"/>
      <c r="F46" s="225">
        <v>0</v>
      </c>
      <c r="G46" s="225"/>
      <c r="H46" s="225">
        <f>F46/S2</f>
        <v>0</v>
      </c>
      <c r="I46" s="213"/>
      <c r="J46" s="225"/>
      <c r="K46" s="225"/>
      <c r="L46" s="225"/>
      <c r="M46" s="225"/>
      <c r="N46" s="225"/>
      <c r="O46" s="225"/>
      <c r="P46" s="225"/>
      <c r="Q46" s="225"/>
      <c r="R46" s="225"/>
      <c r="S46" s="232">
        <f>B25*D34</f>
        <v>55</v>
      </c>
      <c r="T46" s="212">
        <f>C46*S46</f>
        <v>7162.8453947368425</v>
      </c>
      <c r="U46" s="225">
        <f>T46/S2</f>
        <v>65.11677631578948</v>
      </c>
      <c r="V46" s="212">
        <f>F46*S46</f>
        <v>0</v>
      </c>
      <c r="W46" s="225">
        <f>V46/S2</f>
        <v>0</v>
      </c>
      <c r="X46" s="154"/>
      <c r="Y46" s="154"/>
      <c r="Z46" s="154"/>
      <c r="AA46" s="154"/>
      <c r="AB46" s="154"/>
      <c r="AC46" s="154"/>
      <c r="AD46" s="154"/>
      <c r="AE46" s="154"/>
      <c r="AF46" s="154"/>
      <c r="AG46" s="154"/>
      <c r="AH46" s="154"/>
      <c r="AI46" s="154"/>
      <c r="AJ46" s="154"/>
      <c r="AK46" s="154"/>
      <c r="AL46" s="154"/>
      <c r="AM46" s="154"/>
      <c r="AN46" s="154"/>
      <c r="AO46" s="134"/>
    </row>
    <row r="47" spans="1:41" ht="14.5" customHeight="1">
      <c r="A47" s="204" t="s">
        <v>512</v>
      </c>
      <c r="B47" s="213"/>
      <c r="C47" s="225">
        <f>SUM(AF6+AF7+AF8)</f>
        <v>3646.5394736842109</v>
      </c>
      <c r="D47" s="225">
        <f>C47/S2</f>
        <v>33.150358851674646</v>
      </c>
      <c r="E47" s="213"/>
      <c r="F47" s="225">
        <v>0</v>
      </c>
      <c r="G47" s="225"/>
      <c r="H47" s="225">
        <f>F47/S2</f>
        <v>0</v>
      </c>
      <c r="I47" s="213"/>
      <c r="J47" s="225"/>
      <c r="K47" s="225"/>
      <c r="L47" s="225"/>
      <c r="M47" s="225"/>
      <c r="N47" s="225"/>
      <c r="O47" s="225"/>
      <c r="P47" s="225"/>
      <c r="Q47" s="225"/>
      <c r="R47" s="225"/>
      <c r="S47" s="232">
        <f>B26*D34</f>
        <v>46.504065040650403</v>
      </c>
      <c r="T47" s="212">
        <f>C47*S47</f>
        <v>169578.90885750964</v>
      </c>
      <c r="U47" s="225">
        <f>T47/S2</f>
        <v>1541.6264441591786</v>
      </c>
      <c r="V47" s="212">
        <f>F47*S47</f>
        <v>0</v>
      </c>
      <c r="W47" s="225">
        <f>V47/S2</f>
        <v>0</v>
      </c>
      <c r="X47" s="154"/>
      <c r="Y47" s="154"/>
      <c r="Z47" s="154"/>
      <c r="AA47" s="154"/>
      <c r="AB47" s="154"/>
      <c r="AC47" s="154"/>
      <c r="AD47" s="154"/>
      <c r="AE47" s="154"/>
      <c r="AF47" s="154"/>
      <c r="AG47" s="154"/>
      <c r="AH47" s="154"/>
      <c r="AI47" s="154"/>
      <c r="AJ47" s="154"/>
      <c r="AK47" s="154"/>
      <c r="AL47" s="154"/>
      <c r="AM47" s="154"/>
      <c r="AN47" s="154"/>
      <c r="AO47" s="134"/>
    </row>
    <row r="48" spans="1:41" ht="14.5" customHeight="1">
      <c r="A48" s="204" t="s">
        <v>515</v>
      </c>
      <c r="B48" s="213"/>
      <c r="C48" s="225">
        <f>SUM(AK6+AK8)</f>
        <v>57.881578947368425</v>
      </c>
      <c r="D48" s="225">
        <f>C48/S2</f>
        <v>0.52619617224880388</v>
      </c>
      <c r="E48" s="213"/>
      <c r="F48" s="225">
        <f>SUM(AK7+AK9+AK10)</f>
        <v>102.60526315789474</v>
      </c>
      <c r="G48" s="225"/>
      <c r="H48" s="225">
        <f>F48/S2</f>
        <v>0.93277511961722492</v>
      </c>
      <c r="I48" s="213"/>
      <c r="J48" s="225"/>
      <c r="K48" s="225"/>
      <c r="L48" s="225"/>
      <c r="M48" s="225"/>
      <c r="N48" s="225"/>
      <c r="O48" s="225"/>
      <c r="P48" s="225"/>
      <c r="Q48" s="225"/>
      <c r="R48" s="225"/>
      <c r="S48" s="232">
        <f>B27*D34</f>
        <v>38.455284552845526</v>
      </c>
      <c r="T48" s="212">
        <f>C48*S48</f>
        <v>2225.852588789046</v>
      </c>
      <c r="U48" s="225">
        <f>T48/S2</f>
        <v>20.235023534445872</v>
      </c>
      <c r="V48" s="212">
        <f>F48*S48</f>
        <v>3945.71459135644</v>
      </c>
      <c r="W48" s="225">
        <f>V48/S2</f>
        <v>35.870132648694906</v>
      </c>
      <c r="X48" s="154"/>
      <c r="Y48" s="154"/>
      <c r="Z48" s="154"/>
      <c r="AA48" s="154"/>
      <c r="AB48" s="154"/>
      <c r="AC48" s="154"/>
      <c r="AD48" s="154"/>
      <c r="AE48" s="154"/>
      <c r="AF48" s="154"/>
      <c r="AG48" s="154"/>
      <c r="AH48" s="154"/>
      <c r="AI48" s="154"/>
      <c r="AJ48" s="154"/>
      <c r="AK48" s="154"/>
      <c r="AL48" s="154"/>
      <c r="AM48" s="154"/>
      <c r="AN48" s="154"/>
      <c r="AO48" s="134"/>
    </row>
    <row r="49" spans="1:41" ht="14.5" customHeight="1">
      <c r="A49" s="204" t="s">
        <v>521</v>
      </c>
      <c r="B49" s="213"/>
      <c r="C49" s="225">
        <f>SUM(C45:C48)</f>
        <v>3935.9473684210529</v>
      </c>
      <c r="D49" s="225">
        <f>SUM(D45:D48)</f>
        <v>35.781339712918665</v>
      </c>
      <c r="E49" s="213"/>
      <c r="F49" s="225">
        <f>SUM(F45:F48)</f>
        <v>230.86184210526318</v>
      </c>
      <c r="G49" s="225"/>
      <c r="H49" s="225">
        <f>SUM(H45:H48)</f>
        <v>2.0987440191387563</v>
      </c>
      <c r="I49" s="213"/>
      <c r="J49" s="225"/>
      <c r="K49" s="225"/>
      <c r="L49" s="586"/>
      <c r="M49" s="586"/>
      <c r="N49" s="586"/>
      <c r="O49" s="586"/>
      <c r="P49" s="586"/>
      <c r="R49" s="225"/>
      <c r="S49" s="154"/>
      <c r="T49" s="225">
        <f>SUM(T45:T48)</f>
        <v>185399.28554236202</v>
      </c>
      <c r="U49" s="225">
        <f>SUM(U45:U48)</f>
        <v>1685.4480503851094</v>
      </c>
      <c r="V49" s="225">
        <f>SUM(V45:V48)</f>
        <v>12089.485986307232</v>
      </c>
      <c r="W49" s="225">
        <f>SUM(W45:W48)</f>
        <v>109.90441805733848</v>
      </c>
      <c r="X49" s="212"/>
      <c r="Y49" s="225"/>
      <c r="Z49" s="225"/>
      <c r="AA49" s="225"/>
      <c r="AB49" s="225"/>
      <c r="AC49" s="225"/>
      <c r="AD49" s="154"/>
      <c r="AE49" s="154"/>
      <c r="AF49" s="154"/>
      <c r="AG49" s="154"/>
      <c r="AH49" s="154"/>
      <c r="AI49" s="154"/>
      <c r="AJ49" s="154"/>
      <c r="AK49" s="154"/>
      <c r="AL49" s="154"/>
      <c r="AM49" s="154"/>
      <c r="AN49" s="154"/>
      <c r="AO49" s="134"/>
    </row>
    <row r="50" spans="1:41" ht="14.5" customHeight="1">
      <c r="A50" s="211" t="s">
        <v>544</v>
      </c>
      <c r="B50" s="208">
        <f>Personnel!B33</f>
        <v>3</v>
      </c>
      <c r="C50" s="229">
        <f>C49*B50</f>
        <v>11807.842105263158</v>
      </c>
      <c r="D50" s="229">
        <f>D49*B50</f>
        <v>107.344019138756</v>
      </c>
      <c r="E50" s="208">
        <f>Personnel!B34</f>
        <v>5</v>
      </c>
      <c r="F50" s="229">
        <f>F49*E50</f>
        <v>1154.3092105263158</v>
      </c>
      <c r="G50" s="229"/>
      <c r="H50" s="229">
        <f>H49*E50</f>
        <v>10.493720095693782</v>
      </c>
      <c r="I50" s="208"/>
      <c r="J50" s="229">
        <f>C107</f>
        <v>521.81818181818187</v>
      </c>
      <c r="K50" s="229">
        <f>J50/S2</f>
        <v>4.7438016528925626</v>
      </c>
      <c r="L50" s="229"/>
      <c r="M50" s="229">
        <f>H107</f>
        <v>19582.439024390245</v>
      </c>
      <c r="N50" s="229">
        <f>M50/S2</f>
        <v>178.02217294900223</v>
      </c>
      <c r="O50" s="229">
        <f>M107</f>
        <v>0</v>
      </c>
      <c r="P50" s="229">
        <f>O50/S2</f>
        <v>0</v>
      </c>
      <c r="Q50" s="229">
        <f>SUM(C50+F50+J50+M50+O50)</f>
        <v>33066.408521997902</v>
      </c>
      <c r="R50" s="229">
        <f>Q50/S2</f>
        <v>300.60371383634458</v>
      </c>
      <c r="S50" s="208"/>
      <c r="T50" s="229">
        <f>T49*B50</f>
        <v>556197.85662708606</v>
      </c>
      <c r="U50" s="229">
        <f>U49*B50</f>
        <v>5056.3441511553283</v>
      </c>
      <c r="V50" s="229">
        <f>V49*E50</f>
        <v>60447.429931536164</v>
      </c>
      <c r="W50" s="229">
        <f>W49*E50</f>
        <v>549.52209028669233</v>
      </c>
      <c r="X50" s="229">
        <f>E107</f>
        <v>28700.000000000004</v>
      </c>
      <c r="Y50" s="229">
        <f>X50/S2</f>
        <v>260.90909090909093</v>
      </c>
      <c r="Z50" s="229">
        <f>J107</f>
        <v>1077034.1463414636</v>
      </c>
      <c r="AA50" s="229">
        <f>Z50/S2</f>
        <v>9791.2195121951227</v>
      </c>
      <c r="AB50" s="229">
        <f>O107</f>
        <v>0</v>
      </c>
      <c r="AC50" s="229">
        <f>AB50/S2</f>
        <v>0</v>
      </c>
      <c r="AD50" s="229">
        <f>SUM(T50+V50+X50+Z50+AB50)</f>
        <v>1722379.4329000858</v>
      </c>
      <c r="AE50" s="229">
        <f>AD50/S2</f>
        <v>15657.994844546234</v>
      </c>
      <c r="AF50" s="230"/>
      <c r="AG50" s="230"/>
      <c r="AH50" s="230"/>
      <c r="AI50" s="230"/>
      <c r="AJ50" s="230"/>
      <c r="AK50" s="230"/>
      <c r="AL50" s="230"/>
      <c r="AM50" s="230"/>
      <c r="AN50" s="230"/>
      <c r="AO50" s="134"/>
    </row>
    <row r="51" spans="1:41" ht="14.5" customHeight="1">
      <c r="A51" s="228" t="s">
        <v>19</v>
      </c>
      <c r="B51" s="285"/>
      <c r="C51" s="463"/>
      <c r="D51" s="463"/>
      <c r="E51" s="285"/>
      <c r="F51" s="463"/>
      <c r="G51" s="463"/>
      <c r="H51" s="463"/>
      <c r="I51" s="285"/>
      <c r="J51" s="463"/>
      <c r="K51" s="463"/>
      <c r="L51" s="463"/>
      <c r="M51" s="463"/>
      <c r="N51" s="463"/>
      <c r="O51" s="463"/>
      <c r="P51" s="463"/>
      <c r="Q51" s="463"/>
      <c r="R51" s="463"/>
      <c r="S51" s="228" t="s">
        <v>538</v>
      </c>
      <c r="T51" s="285"/>
      <c r="U51" s="285"/>
      <c r="V51" s="285"/>
      <c r="W51" s="285"/>
      <c r="X51" s="463"/>
      <c r="Y51" s="285"/>
      <c r="Z51" s="285"/>
      <c r="AA51" s="285"/>
      <c r="AB51" s="285"/>
      <c r="AC51" s="285"/>
      <c r="AD51" s="285"/>
      <c r="AE51" s="285"/>
      <c r="AF51" s="285"/>
      <c r="AG51" s="285"/>
      <c r="AH51" s="285"/>
      <c r="AI51" s="285"/>
      <c r="AJ51" s="285"/>
      <c r="AK51" s="285"/>
      <c r="AL51" s="285"/>
      <c r="AM51" s="285"/>
      <c r="AN51" s="285"/>
      <c r="AO51" s="134"/>
    </row>
    <row r="52" spans="1:41" ht="14.5" customHeight="1">
      <c r="A52" s="204" t="s">
        <v>493</v>
      </c>
      <c r="B52" s="213"/>
      <c r="C52" s="225">
        <f>SUM(F18+F19)</f>
        <v>147.90899122807019</v>
      </c>
      <c r="D52" s="225">
        <f>C52/S2</f>
        <v>1.3446271929824563</v>
      </c>
      <c r="E52" s="213"/>
      <c r="F52" s="225">
        <f>SUM(F15+F16+F17)</f>
        <v>153.90789473684211</v>
      </c>
      <c r="G52" s="225"/>
      <c r="H52" s="225">
        <f>F52/S2</f>
        <v>1.3991626794258374</v>
      </c>
      <c r="I52" s="213"/>
      <c r="J52" s="225"/>
      <c r="K52" s="225"/>
      <c r="L52" s="225"/>
      <c r="M52" s="225"/>
      <c r="N52" s="225"/>
      <c r="O52" s="225"/>
      <c r="P52" s="225"/>
      <c r="Q52" s="225"/>
      <c r="R52" s="225"/>
      <c r="S52" s="232">
        <f>B24*D40</f>
        <v>78.504065040650403</v>
      </c>
      <c r="T52" s="212">
        <f>C52*S52</f>
        <v>11611.457067465411</v>
      </c>
      <c r="U52" s="225">
        <f>T52/S2</f>
        <v>105.55870061332192</v>
      </c>
      <c r="V52" s="212">
        <f>F52*S52</f>
        <v>12082.39537869063</v>
      </c>
      <c r="W52" s="225">
        <f>V52/S2</f>
        <v>109.83995798809663</v>
      </c>
      <c r="X52" s="212"/>
      <c r="Y52" s="154"/>
      <c r="Z52" s="154"/>
      <c r="AA52" s="154"/>
      <c r="AB52" s="154"/>
      <c r="AC52" s="154"/>
      <c r="AD52" s="154"/>
      <c r="AE52" s="154"/>
      <c r="AF52" s="154"/>
      <c r="AG52" s="154"/>
      <c r="AH52" s="154"/>
      <c r="AI52" s="154"/>
      <c r="AJ52" s="154"/>
      <c r="AK52" s="154"/>
      <c r="AL52" s="154"/>
      <c r="AM52" s="154"/>
      <c r="AN52" s="154"/>
      <c r="AO52" s="134"/>
    </row>
    <row r="53" spans="1:41" ht="14.5" customHeight="1">
      <c r="A53" s="204" t="s">
        <v>494</v>
      </c>
      <c r="B53" s="213"/>
      <c r="C53" s="225">
        <f>SUM(T15+T16+T17+T18+T19)</f>
        <v>159.17434210526318</v>
      </c>
      <c r="D53" s="225">
        <f>C53/S2</f>
        <v>1.4470394736842107</v>
      </c>
      <c r="E53" s="213"/>
      <c r="F53" s="225">
        <v>0</v>
      </c>
      <c r="G53" s="225"/>
      <c r="H53" s="225">
        <f>F53/S2</f>
        <v>0</v>
      </c>
      <c r="I53" s="213"/>
      <c r="J53" s="225"/>
      <c r="K53" s="225"/>
      <c r="L53" s="225"/>
      <c r="M53" s="225"/>
      <c r="N53" s="225"/>
      <c r="O53" s="225"/>
      <c r="P53" s="225"/>
      <c r="Q53" s="225"/>
      <c r="R53" s="225"/>
      <c r="S53" s="232">
        <f>B25*D40</f>
        <v>68</v>
      </c>
      <c r="T53" s="212">
        <f>C53*S53</f>
        <v>10823.855263157897</v>
      </c>
      <c r="U53" s="225">
        <f>T53/S2</f>
        <v>98.398684210526341</v>
      </c>
      <c r="V53" s="212">
        <f>F53*S53</f>
        <v>0</v>
      </c>
      <c r="W53" s="225">
        <f>V53/S2</f>
        <v>0</v>
      </c>
      <c r="X53" s="212"/>
      <c r="Y53" s="154"/>
      <c r="Z53" s="154"/>
      <c r="AA53" s="154"/>
      <c r="AB53" s="154"/>
      <c r="AC53" s="154"/>
      <c r="AD53" s="154"/>
      <c r="AE53" s="154"/>
      <c r="AF53" s="154"/>
      <c r="AG53" s="154"/>
      <c r="AH53" s="154"/>
      <c r="AI53" s="154"/>
      <c r="AJ53" s="154"/>
      <c r="AK53" s="154"/>
      <c r="AL53" s="154"/>
      <c r="AM53" s="154"/>
      <c r="AN53" s="154"/>
      <c r="AO53" s="134"/>
    </row>
    <row r="54" spans="1:41" ht="14.5" customHeight="1">
      <c r="A54" s="204" t="s">
        <v>512</v>
      </c>
      <c r="B54" s="213"/>
      <c r="C54" s="225">
        <f>SUM(AF15+AF16+AF17)</f>
        <v>3646.5394736842109</v>
      </c>
      <c r="D54" s="225">
        <f>C54/S2</f>
        <v>33.150358851674646</v>
      </c>
      <c r="E54" s="213"/>
      <c r="F54" s="225">
        <v>0</v>
      </c>
      <c r="G54" s="225"/>
      <c r="H54" s="225">
        <f>F54/S2</f>
        <v>0</v>
      </c>
      <c r="I54" s="213"/>
      <c r="J54" s="225"/>
      <c r="K54" s="225"/>
      <c r="L54" s="225"/>
      <c r="M54" s="225"/>
      <c r="N54" s="225"/>
      <c r="O54" s="225"/>
      <c r="P54" s="225"/>
      <c r="Q54" s="225"/>
      <c r="R54" s="225"/>
      <c r="S54" s="232">
        <f>B26*D40</f>
        <v>57.495934959349597</v>
      </c>
      <c r="T54" s="212">
        <f>C54*S54</f>
        <v>209661.19640564831</v>
      </c>
      <c r="U54" s="225">
        <f>T54/S2</f>
        <v>1906.0108764149848</v>
      </c>
      <c r="V54" s="212">
        <f>F54*S54</f>
        <v>0</v>
      </c>
      <c r="W54" s="225">
        <f>V54/S2</f>
        <v>0</v>
      </c>
      <c r="X54" s="212"/>
      <c r="Y54" s="154"/>
      <c r="Z54" s="154"/>
      <c r="AA54" s="154"/>
      <c r="AB54" s="154"/>
      <c r="AC54" s="154"/>
      <c r="AD54" s="154"/>
      <c r="AE54" s="154"/>
      <c r="AF54" s="154"/>
      <c r="AG54" s="154"/>
      <c r="AH54" s="154"/>
      <c r="AI54" s="154"/>
      <c r="AJ54" s="154"/>
      <c r="AK54" s="154"/>
      <c r="AL54" s="154"/>
      <c r="AM54" s="154"/>
      <c r="AN54" s="154"/>
      <c r="AO54" s="134"/>
    </row>
    <row r="55" spans="1:41" ht="14.5" customHeight="1">
      <c r="A55" s="204" t="s">
        <v>515</v>
      </c>
      <c r="B55" s="213"/>
      <c r="C55" s="225">
        <f>SUM(AK15+AK17)</f>
        <v>57.881578947368425</v>
      </c>
      <c r="D55" s="225">
        <f>C55/S2</f>
        <v>0.52619617224880388</v>
      </c>
      <c r="E55" s="213"/>
      <c r="F55" s="225">
        <f>SUM(AK16+AK18+AK19)</f>
        <v>115.43092105263159</v>
      </c>
      <c r="G55" s="225"/>
      <c r="H55" s="225">
        <f>F55/S2</f>
        <v>1.0493720095693782</v>
      </c>
      <c r="I55" s="213"/>
      <c r="J55" s="225"/>
      <c r="K55" s="225"/>
      <c r="L55" s="225"/>
      <c r="M55" s="225"/>
      <c r="N55" s="225"/>
      <c r="O55" s="225"/>
      <c r="P55" s="225"/>
      <c r="Q55" s="225"/>
      <c r="R55" s="225"/>
      <c r="S55" s="232">
        <f>B27*D40</f>
        <v>47.544715447154474</v>
      </c>
      <c r="T55" s="212">
        <f>C55*S55</f>
        <v>2751.9632006846387</v>
      </c>
      <c r="U55" s="225">
        <f>T55/S2</f>
        <v>25.017847278951262</v>
      </c>
      <c r="V55" s="212">
        <f>F55*S55</f>
        <v>5488.130295250322</v>
      </c>
      <c r="W55" s="225">
        <f>V55/S2</f>
        <v>49.892093593184747</v>
      </c>
      <c r="X55" s="212"/>
      <c r="Y55" s="154"/>
      <c r="Z55" s="154"/>
      <c r="AA55" s="154"/>
      <c r="AB55" s="154"/>
      <c r="AC55" s="154"/>
      <c r="AD55" s="154"/>
      <c r="AE55" s="154"/>
      <c r="AF55" s="154"/>
      <c r="AG55" s="154"/>
      <c r="AH55" s="154"/>
      <c r="AI55" s="154"/>
      <c r="AJ55" s="154"/>
      <c r="AK55" s="154"/>
      <c r="AL55" s="154"/>
      <c r="AM55" s="154"/>
      <c r="AN55" s="154"/>
      <c r="AO55" s="134"/>
    </row>
    <row r="56" spans="1:41" ht="14.5" customHeight="1">
      <c r="A56" s="204" t="s">
        <v>521</v>
      </c>
      <c r="B56" s="213"/>
      <c r="C56" s="225">
        <f>SUM(C52:C55)</f>
        <v>4011.5043859649127</v>
      </c>
      <c r="D56" s="225">
        <f>SUM(D52:D55)</f>
        <v>36.468221690590113</v>
      </c>
      <c r="E56" s="213"/>
      <c r="F56" s="225">
        <f>SUM(F52:F55)</f>
        <v>269.3388157894737</v>
      </c>
      <c r="G56" s="225"/>
      <c r="H56" s="225">
        <f>SUM(H52:H55)</f>
        <v>2.4485346889952155</v>
      </c>
      <c r="I56" s="213"/>
      <c r="J56" s="225"/>
      <c r="K56" s="225"/>
      <c r="L56" s="225"/>
      <c r="M56" s="225"/>
      <c r="N56" s="225"/>
      <c r="O56" s="225"/>
      <c r="P56" s="225"/>
      <c r="Q56" s="225"/>
      <c r="R56" s="225"/>
      <c r="S56" s="154"/>
      <c r="T56" s="225">
        <f>SUM(T52:T55)</f>
        <v>234848.47193695625</v>
      </c>
      <c r="U56" s="225">
        <f>SUM(U52:U55)</f>
        <v>2134.986108517784</v>
      </c>
      <c r="V56" s="225">
        <f>SUM(V52:V55)</f>
        <v>17570.525673940952</v>
      </c>
      <c r="W56" s="225">
        <f>SUM(W52:W55)</f>
        <v>159.73205158128138</v>
      </c>
      <c r="X56" s="212"/>
      <c r="Y56" s="225"/>
      <c r="Z56" s="225"/>
      <c r="AA56" s="225"/>
      <c r="AB56" s="225"/>
      <c r="AC56" s="225"/>
      <c r="AD56" s="154"/>
      <c r="AE56" s="154"/>
      <c r="AF56" s="154"/>
      <c r="AG56" s="154"/>
      <c r="AH56" s="154"/>
      <c r="AI56" s="154"/>
      <c r="AJ56" s="154"/>
      <c r="AK56" s="154"/>
      <c r="AL56" s="154"/>
      <c r="AM56" s="154"/>
      <c r="AN56" s="154"/>
      <c r="AO56" s="134"/>
    </row>
    <row r="57" spans="1:41" ht="14.5" customHeight="1">
      <c r="A57" s="211" t="s">
        <v>545</v>
      </c>
      <c r="B57" s="208">
        <f>Personnel!C33</f>
        <v>3</v>
      </c>
      <c r="C57" s="229">
        <f>C56*B57</f>
        <v>12034.513157894738</v>
      </c>
      <c r="D57" s="229">
        <f>D56*B57</f>
        <v>109.40466507177034</v>
      </c>
      <c r="E57" s="208">
        <f>Personnel!C34</f>
        <v>2</v>
      </c>
      <c r="F57" s="229">
        <f>F56*E57</f>
        <v>538.6776315789474</v>
      </c>
      <c r="G57" s="229"/>
      <c r="H57" s="229">
        <f>H56*E57</f>
        <v>4.8970693779904311</v>
      </c>
      <c r="I57" s="208"/>
      <c r="J57" s="229">
        <f>C108</f>
        <v>1572.7941176470588</v>
      </c>
      <c r="K57" s="229">
        <f>J57/S2</f>
        <v>14.298128342245988</v>
      </c>
      <c r="L57" s="229"/>
      <c r="M57" s="229">
        <f>H108</f>
        <v>19582.439024390245</v>
      </c>
      <c r="N57" s="229">
        <f>M57/S2</f>
        <v>178.02217294900223</v>
      </c>
      <c r="O57" s="229">
        <f>M108</f>
        <v>41283.529411764706</v>
      </c>
      <c r="P57" s="229">
        <f>O57/S2</f>
        <v>375.30481283422461</v>
      </c>
      <c r="Q57" s="229">
        <f>SUM(C57+F57+J57+M57+O57)</f>
        <v>75011.953343275702</v>
      </c>
      <c r="R57" s="229">
        <f>Q57/S2</f>
        <v>681.92684857523363</v>
      </c>
      <c r="S57" s="208"/>
      <c r="T57" s="229">
        <f>T56*B57</f>
        <v>704545.41581086873</v>
      </c>
      <c r="U57" s="229">
        <f>U56*B57</f>
        <v>6404.9583255533526</v>
      </c>
      <c r="V57" s="229">
        <f>V56*E57</f>
        <v>35141.051347881905</v>
      </c>
      <c r="W57" s="229">
        <f>W56*E57</f>
        <v>319.46410316256276</v>
      </c>
      <c r="X57" s="229">
        <f>E108</f>
        <v>106950</v>
      </c>
      <c r="Y57" s="229">
        <f>X57/S2</f>
        <v>972.27272727272725</v>
      </c>
      <c r="Z57" s="229">
        <f>J108</f>
        <v>1331605.8536585367</v>
      </c>
      <c r="AA57" s="229">
        <f>Z57/S2</f>
        <v>12105.507760532151</v>
      </c>
      <c r="AB57" s="229">
        <f>M108</f>
        <v>41283.529411764706</v>
      </c>
      <c r="AC57" s="229">
        <f>AB57/S2</f>
        <v>375.30481283422461</v>
      </c>
      <c r="AD57" s="229">
        <f>SUM(T57+V57+X57+Z57+AB57)</f>
        <v>2219525.8502290519</v>
      </c>
      <c r="AE57" s="229">
        <f>AD57/S2</f>
        <v>20177.507729355017</v>
      </c>
      <c r="AF57" s="230"/>
      <c r="AG57" s="230"/>
      <c r="AH57" s="230"/>
      <c r="AI57" s="230"/>
      <c r="AJ57" s="230"/>
      <c r="AK57" s="230"/>
      <c r="AL57" s="230"/>
      <c r="AM57" s="230"/>
      <c r="AN57" s="230"/>
      <c r="AO57" s="134"/>
    </row>
    <row r="58" spans="1:41" ht="14.5" customHeight="1">
      <c r="A58" s="220" t="s">
        <v>415</v>
      </c>
      <c r="B58" s="233">
        <f>SUM(B50+B57)</f>
        <v>6</v>
      </c>
      <c r="C58" s="234">
        <f>SUM(C50+C57)</f>
        <v>23842.355263157897</v>
      </c>
      <c r="D58" s="234">
        <f>SUM(D50+D57)</f>
        <v>216.74868421052633</v>
      </c>
      <c r="E58" s="235"/>
      <c r="F58" s="234">
        <f>SUM(F50+F57)</f>
        <v>1692.9868421052633</v>
      </c>
      <c r="G58" s="234"/>
      <c r="H58" s="234">
        <f>SUM(H50+H57)</f>
        <v>15.390789473684212</v>
      </c>
      <c r="I58" s="235"/>
      <c r="J58" s="234">
        <f>SUM(J50+J57)</f>
        <v>2094.6122994652405</v>
      </c>
      <c r="K58" s="234">
        <f>SUM(K50+K57)</f>
        <v>19.041929995138553</v>
      </c>
      <c r="L58" s="234"/>
      <c r="M58" s="234">
        <f t="shared" ref="M58:R58" si="4">SUM(M50+M57)</f>
        <v>39164.878048780491</v>
      </c>
      <c r="N58" s="234">
        <f t="shared" si="4"/>
        <v>356.04434589800445</v>
      </c>
      <c r="O58" s="234">
        <f t="shared" si="4"/>
        <v>41283.529411764706</v>
      </c>
      <c r="P58" s="234">
        <f t="shared" si="4"/>
        <v>375.30481283422461</v>
      </c>
      <c r="Q58" s="234">
        <f t="shared" si="4"/>
        <v>108078.3618652736</v>
      </c>
      <c r="R58" s="234">
        <f t="shared" si="4"/>
        <v>982.53056241157822</v>
      </c>
      <c r="S58" s="231"/>
      <c r="T58" s="234">
        <f t="shared" ref="T58:AE58" si="5">SUM(T50+T57)</f>
        <v>1260743.2724379548</v>
      </c>
      <c r="U58" s="234">
        <f t="shared" si="5"/>
        <v>11461.302476708681</v>
      </c>
      <c r="V58" s="234">
        <f t="shared" si="5"/>
        <v>95588.481279418076</v>
      </c>
      <c r="W58" s="234">
        <f t="shared" si="5"/>
        <v>868.9861934492551</v>
      </c>
      <c r="X58" s="234">
        <f t="shared" si="5"/>
        <v>135650</v>
      </c>
      <c r="Y58" s="234">
        <f t="shared" si="5"/>
        <v>1233.1818181818182</v>
      </c>
      <c r="Z58" s="234">
        <f t="shared" si="5"/>
        <v>2408640</v>
      </c>
      <c r="AA58" s="234">
        <f t="shared" si="5"/>
        <v>21896.727272727272</v>
      </c>
      <c r="AB58" s="234">
        <f t="shared" si="5"/>
        <v>41283.529411764706</v>
      </c>
      <c r="AC58" s="234">
        <f t="shared" si="5"/>
        <v>375.30481283422461</v>
      </c>
      <c r="AD58" s="234">
        <f t="shared" si="5"/>
        <v>3941905.2831291379</v>
      </c>
      <c r="AE58" s="234">
        <f t="shared" si="5"/>
        <v>35835.502573901249</v>
      </c>
      <c r="AF58" s="231"/>
      <c r="AG58" s="231"/>
      <c r="AH58" s="231"/>
      <c r="AI58" s="231"/>
      <c r="AJ58" s="231"/>
      <c r="AK58" s="231"/>
      <c r="AL58" s="231"/>
      <c r="AM58" s="231"/>
      <c r="AN58" s="231"/>
      <c r="AO58" s="134"/>
    </row>
    <row r="59" spans="1:41" s="9" customFormat="1" ht="15.5" customHeight="1">
      <c r="A59" s="160" t="s">
        <v>535</v>
      </c>
      <c r="B59" s="160"/>
      <c r="C59" s="160"/>
      <c r="D59" s="160" t="s">
        <v>520</v>
      </c>
      <c r="E59" s="160"/>
      <c r="F59" s="160" t="s">
        <v>449</v>
      </c>
      <c r="G59" s="160"/>
      <c r="H59" s="160"/>
      <c r="I59" s="160" t="s">
        <v>358</v>
      </c>
      <c r="J59" s="160"/>
      <c r="K59" s="236"/>
      <c r="L59" s="236"/>
      <c r="M59" s="236"/>
      <c r="N59" s="236"/>
      <c r="O59" s="236"/>
      <c r="P59" s="236"/>
      <c r="Q59" s="236"/>
      <c r="R59" s="236"/>
      <c r="S59" s="199"/>
      <c r="T59" s="236"/>
      <c r="U59" s="236"/>
      <c r="V59" s="199"/>
      <c r="W59" s="236"/>
      <c r="X59" s="199"/>
      <c r="Y59" s="199"/>
      <c r="Z59" s="199"/>
      <c r="AA59" s="199"/>
      <c r="AB59" s="199"/>
      <c r="AC59" s="199"/>
      <c r="AD59" s="162"/>
      <c r="AE59" s="162"/>
      <c r="AF59" s="162"/>
      <c r="AG59" s="162"/>
      <c r="AH59" s="237"/>
      <c r="AI59" s="237"/>
      <c r="AJ59" s="238"/>
      <c r="AK59" s="239"/>
      <c r="AL59" s="240"/>
      <c r="AM59" s="237"/>
      <c r="AN59" s="239"/>
      <c r="AO59" s="148"/>
    </row>
    <row r="60" spans="1:41" s="9" customFormat="1" ht="15.5" customHeight="1">
      <c r="A60" s="160"/>
      <c r="B60" s="160"/>
      <c r="C60" s="160"/>
      <c r="D60" s="160" t="s">
        <v>233</v>
      </c>
      <c r="E60" s="160" t="s">
        <v>32</v>
      </c>
      <c r="F60" s="160" t="s">
        <v>233</v>
      </c>
      <c r="G60" s="160"/>
      <c r="H60" s="160" t="s">
        <v>32</v>
      </c>
      <c r="I60" s="160" t="s">
        <v>233</v>
      </c>
      <c r="J60" s="160" t="s">
        <v>32</v>
      </c>
      <c r="K60" s="236"/>
      <c r="L60" s="236"/>
      <c r="M60" s="236"/>
      <c r="N60" s="236"/>
      <c r="O60" s="236"/>
      <c r="P60" s="236"/>
      <c r="Q60" s="236"/>
      <c r="R60" s="236"/>
      <c r="S60" s="199"/>
      <c r="T60" s="236"/>
      <c r="U60" s="236"/>
      <c r="V60" s="199"/>
      <c r="W60" s="236"/>
      <c r="X60" s="199"/>
      <c r="Y60" s="199"/>
      <c r="Z60" s="199"/>
      <c r="AA60" s="199"/>
      <c r="AB60" s="199"/>
      <c r="AC60" s="199"/>
      <c r="AD60" s="162"/>
      <c r="AE60" s="162"/>
      <c r="AF60" s="162"/>
      <c r="AG60" s="162"/>
      <c r="AH60" s="237"/>
      <c r="AI60" s="237"/>
      <c r="AJ60" s="238"/>
      <c r="AK60" s="239"/>
      <c r="AL60" s="240"/>
      <c r="AM60" s="237"/>
      <c r="AN60" s="239"/>
      <c r="AO60" s="148"/>
    </row>
    <row r="61" spans="1:41" s="9" customFormat="1" ht="15.5">
      <c r="A61" s="241" t="s">
        <v>25</v>
      </c>
      <c r="B61" s="241"/>
      <c r="C61" s="241"/>
      <c r="D61" s="242"/>
      <c r="E61" s="242"/>
      <c r="F61" s="242"/>
      <c r="G61" s="242"/>
      <c r="H61" s="243"/>
      <c r="I61" s="243"/>
      <c r="J61" s="244"/>
      <c r="K61" s="242"/>
      <c r="L61" s="242"/>
      <c r="M61" s="242"/>
      <c r="N61" s="242"/>
      <c r="O61" s="242"/>
      <c r="P61" s="242"/>
      <c r="Q61" s="242"/>
      <c r="R61" s="242"/>
      <c r="S61" s="158"/>
      <c r="T61" s="242"/>
      <c r="U61" s="242"/>
      <c r="V61" s="158"/>
      <c r="W61" s="243"/>
      <c r="X61" s="158"/>
      <c r="Y61" s="158"/>
      <c r="Z61" s="158"/>
      <c r="AA61" s="158"/>
      <c r="AB61" s="158"/>
      <c r="AC61" s="158"/>
      <c r="AD61" s="244"/>
      <c r="AE61" s="244"/>
      <c r="AF61" s="244"/>
      <c r="AG61" s="244"/>
      <c r="AH61" s="245"/>
      <c r="AI61" s="245"/>
      <c r="AJ61" s="245"/>
      <c r="AK61" s="246"/>
      <c r="AL61" s="247"/>
      <c r="AM61" s="245"/>
      <c r="AN61" s="246"/>
      <c r="AO61" s="148"/>
    </row>
    <row r="62" spans="1:41" s="9" customFormat="1" ht="15.5">
      <c r="A62" s="178" t="s">
        <v>203</v>
      </c>
      <c r="B62" s="178"/>
      <c r="C62" s="248">
        <v>1</v>
      </c>
      <c r="D62" s="249">
        <v>1200</v>
      </c>
      <c r="E62" s="250">
        <f>D62/S2</f>
        <v>10.909090909090908</v>
      </c>
      <c r="F62" s="249">
        <v>300</v>
      </c>
      <c r="G62" s="249"/>
      <c r="H62" s="250">
        <f>F62/S2</f>
        <v>2.7272727272727271</v>
      </c>
      <c r="I62" s="250">
        <f t="shared" ref="I62:I67" si="6">SUM(D62+F62)</f>
        <v>1500</v>
      </c>
      <c r="J62" s="250">
        <f>I62/S2</f>
        <v>13.636363636363637</v>
      </c>
      <c r="K62" s="242"/>
      <c r="L62" s="242"/>
      <c r="M62" s="242"/>
      <c r="N62" s="242"/>
      <c r="O62" s="242"/>
      <c r="P62" s="242"/>
      <c r="Q62" s="242"/>
      <c r="R62" s="242"/>
      <c r="S62" s="158"/>
      <c r="T62" s="242"/>
      <c r="U62" s="242"/>
      <c r="V62" s="158"/>
      <c r="W62" s="251"/>
      <c r="X62" s="158"/>
      <c r="Y62" s="158"/>
      <c r="Z62" s="158"/>
      <c r="AA62" s="158"/>
      <c r="AB62" s="158"/>
      <c r="AC62" s="158"/>
      <c r="AD62" s="251"/>
      <c r="AE62" s="251"/>
      <c r="AF62" s="251"/>
      <c r="AG62" s="251"/>
      <c r="AH62" s="252"/>
      <c r="AI62" s="252"/>
      <c r="AJ62" s="181"/>
      <c r="AK62" s="181"/>
      <c r="AL62" s="247"/>
      <c r="AM62" s="245"/>
      <c r="AN62" s="246"/>
      <c r="AO62" s="148"/>
    </row>
    <row r="63" spans="1:41" s="9" customFormat="1" ht="15.5">
      <c r="A63" s="178" t="s">
        <v>204</v>
      </c>
      <c r="B63" s="178"/>
      <c r="C63" s="248">
        <v>1</v>
      </c>
      <c r="D63" s="249">
        <v>3900</v>
      </c>
      <c r="E63" s="250">
        <f>D63/S2</f>
        <v>35.454545454545453</v>
      </c>
      <c r="F63" s="249">
        <v>2000</v>
      </c>
      <c r="G63" s="249"/>
      <c r="H63" s="250">
        <f>F63/S2</f>
        <v>18.181818181818183</v>
      </c>
      <c r="I63" s="250">
        <f t="shared" si="6"/>
        <v>5900</v>
      </c>
      <c r="J63" s="250">
        <f>I63/S2</f>
        <v>53.636363636363633</v>
      </c>
      <c r="K63" s="242"/>
      <c r="L63" s="242"/>
      <c r="M63" s="242"/>
      <c r="N63" s="242"/>
      <c r="O63" s="242"/>
      <c r="P63" s="242"/>
      <c r="Q63" s="242"/>
      <c r="R63" s="242"/>
      <c r="S63" s="158"/>
      <c r="T63" s="242"/>
      <c r="U63" s="242"/>
      <c r="V63" s="158"/>
      <c r="W63" s="251"/>
      <c r="X63" s="158"/>
      <c r="Y63" s="158"/>
      <c r="Z63" s="158"/>
      <c r="AA63" s="158"/>
      <c r="AB63" s="158"/>
      <c r="AC63" s="158"/>
      <c r="AD63" s="251"/>
      <c r="AE63" s="251"/>
      <c r="AF63" s="251"/>
      <c r="AG63" s="251"/>
      <c r="AH63" s="252"/>
      <c r="AI63" s="252"/>
      <c r="AJ63" s="181"/>
      <c r="AK63" s="181"/>
      <c r="AL63" s="247"/>
      <c r="AM63" s="245"/>
      <c r="AN63" s="246"/>
      <c r="AO63" s="148"/>
    </row>
    <row r="64" spans="1:41" s="9" customFormat="1" ht="15.5">
      <c r="A64" s="178" t="s">
        <v>205</v>
      </c>
      <c r="B64" s="178"/>
      <c r="C64" s="248">
        <v>1</v>
      </c>
      <c r="D64" s="249">
        <v>3600</v>
      </c>
      <c r="E64" s="250">
        <f>D64/S2</f>
        <v>32.727272727272727</v>
      </c>
      <c r="F64" s="249">
        <v>1900</v>
      </c>
      <c r="G64" s="249"/>
      <c r="H64" s="250">
        <f>F64/S2</f>
        <v>17.272727272727273</v>
      </c>
      <c r="I64" s="250">
        <f t="shared" si="6"/>
        <v>5500</v>
      </c>
      <c r="J64" s="250">
        <f>I64/S2</f>
        <v>50</v>
      </c>
      <c r="K64" s="242"/>
      <c r="L64" s="242"/>
      <c r="M64" s="242"/>
      <c r="N64" s="242"/>
      <c r="O64" s="242"/>
      <c r="P64" s="242"/>
      <c r="Q64" s="242"/>
      <c r="R64" s="242"/>
      <c r="S64" s="158"/>
      <c r="T64" s="242"/>
      <c r="U64" s="242"/>
      <c r="V64" s="158"/>
      <c r="W64" s="251"/>
      <c r="X64" s="158"/>
      <c r="Y64" s="158"/>
      <c r="Z64" s="158"/>
      <c r="AA64" s="158"/>
      <c r="AB64" s="158"/>
      <c r="AC64" s="158"/>
      <c r="AD64" s="251"/>
      <c r="AE64" s="251"/>
      <c r="AF64" s="251"/>
      <c r="AG64" s="251"/>
      <c r="AH64" s="252"/>
      <c r="AI64" s="252"/>
      <c r="AJ64" s="181"/>
      <c r="AK64" s="181"/>
      <c r="AL64" s="247"/>
      <c r="AM64" s="245"/>
      <c r="AN64" s="246"/>
      <c r="AO64" s="148"/>
    </row>
    <row r="65" spans="1:41" s="9" customFormat="1" ht="15.5">
      <c r="A65" s="178" t="s">
        <v>206</v>
      </c>
      <c r="B65" s="178"/>
      <c r="C65" s="248">
        <v>1</v>
      </c>
      <c r="D65" s="249">
        <v>600</v>
      </c>
      <c r="E65" s="250">
        <f>D65/S2</f>
        <v>5.4545454545454541</v>
      </c>
      <c r="F65" s="249">
        <v>450</v>
      </c>
      <c r="G65" s="249"/>
      <c r="H65" s="250">
        <f>F65/S2</f>
        <v>4.0909090909090908</v>
      </c>
      <c r="I65" s="250">
        <f t="shared" si="6"/>
        <v>1050</v>
      </c>
      <c r="J65" s="250">
        <f>I65/S2</f>
        <v>9.545454545454545</v>
      </c>
      <c r="K65" s="242"/>
      <c r="L65" s="242"/>
      <c r="M65" s="242"/>
      <c r="N65" s="242"/>
      <c r="O65" s="242"/>
      <c r="P65" s="242"/>
      <c r="Q65" s="242"/>
      <c r="R65" s="242"/>
      <c r="S65" s="158"/>
      <c r="T65" s="242"/>
      <c r="U65" s="242"/>
      <c r="V65" s="158"/>
      <c r="W65" s="251"/>
      <c r="X65" s="158"/>
      <c r="Y65" s="158"/>
      <c r="Z65" s="158"/>
      <c r="AA65" s="158"/>
      <c r="AB65" s="158"/>
      <c r="AC65" s="158"/>
      <c r="AD65" s="251"/>
      <c r="AE65" s="251"/>
      <c r="AF65" s="251"/>
      <c r="AG65" s="251"/>
      <c r="AH65" s="252"/>
      <c r="AI65" s="252"/>
      <c r="AJ65" s="181"/>
      <c r="AK65" s="181"/>
      <c r="AL65" s="247"/>
      <c r="AM65" s="245"/>
      <c r="AN65" s="246"/>
      <c r="AO65" s="148"/>
    </row>
    <row r="66" spans="1:41" s="9" customFormat="1" ht="15.5">
      <c r="A66" s="178" t="s">
        <v>207</v>
      </c>
      <c r="B66" s="178"/>
      <c r="C66" s="248">
        <v>1</v>
      </c>
      <c r="D66" s="249">
        <v>900</v>
      </c>
      <c r="E66" s="250">
        <f>D66/S2</f>
        <v>8.1818181818181817</v>
      </c>
      <c r="F66" s="249">
        <v>650</v>
      </c>
      <c r="G66" s="249"/>
      <c r="H66" s="250">
        <f>F66/S2</f>
        <v>5.9090909090909092</v>
      </c>
      <c r="I66" s="250">
        <f t="shared" si="6"/>
        <v>1550</v>
      </c>
      <c r="J66" s="250">
        <f>I66/S2</f>
        <v>14.090909090909092</v>
      </c>
      <c r="K66" s="242"/>
      <c r="L66" s="242"/>
      <c r="M66" s="242"/>
      <c r="N66" s="242"/>
      <c r="O66" s="242"/>
      <c r="P66" s="242"/>
      <c r="Q66" s="242"/>
      <c r="R66" s="242"/>
      <c r="S66" s="158"/>
      <c r="T66" s="242"/>
      <c r="U66" s="242"/>
      <c r="V66" s="158"/>
      <c r="W66" s="251"/>
      <c r="X66" s="158"/>
      <c r="Y66" s="158"/>
      <c r="Z66" s="158"/>
      <c r="AA66" s="158"/>
      <c r="AB66" s="158"/>
      <c r="AC66" s="158"/>
      <c r="AD66" s="251"/>
      <c r="AE66" s="251"/>
      <c r="AF66" s="251"/>
      <c r="AG66" s="251"/>
      <c r="AH66" s="252"/>
      <c r="AI66" s="252"/>
      <c r="AJ66" s="181"/>
      <c r="AK66" s="181"/>
      <c r="AL66" s="247"/>
      <c r="AM66" s="245"/>
      <c r="AN66" s="246"/>
      <c r="AO66" s="148"/>
    </row>
    <row r="67" spans="1:41" s="9" customFormat="1" ht="14.5" customHeight="1">
      <c r="A67" s="178" t="s">
        <v>208</v>
      </c>
      <c r="B67" s="178"/>
      <c r="C67" s="248">
        <v>1</v>
      </c>
      <c r="D67" s="249">
        <v>600</v>
      </c>
      <c r="E67" s="250">
        <f>D67/S2</f>
        <v>5.4545454545454541</v>
      </c>
      <c r="F67" s="249">
        <v>750</v>
      </c>
      <c r="G67" s="249"/>
      <c r="H67" s="250">
        <f>F67/S2</f>
        <v>6.8181818181818183</v>
      </c>
      <c r="I67" s="250">
        <f t="shared" si="6"/>
        <v>1350</v>
      </c>
      <c r="J67" s="250">
        <f>I67/S2</f>
        <v>12.272727272727273</v>
      </c>
      <c r="K67" s="242"/>
      <c r="L67" s="242"/>
      <c r="M67" s="242"/>
      <c r="N67" s="242"/>
      <c r="O67" s="242"/>
      <c r="P67" s="242"/>
      <c r="Q67" s="242"/>
      <c r="R67" s="242"/>
      <c r="S67" s="158"/>
      <c r="T67" s="242"/>
      <c r="U67" s="242"/>
      <c r="V67" s="158"/>
      <c r="W67" s="251"/>
      <c r="X67" s="158"/>
      <c r="Y67" s="158"/>
      <c r="Z67" s="158"/>
      <c r="AA67" s="158"/>
      <c r="AB67" s="158"/>
      <c r="AC67" s="158"/>
      <c r="AD67" s="251"/>
      <c r="AE67" s="251"/>
      <c r="AF67" s="251"/>
      <c r="AG67" s="251"/>
      <c r="AH67" s="252"/>
      <c r="AI67" s="252"/>
      <c r="AJ67" s="181"/>
      <c r="AK67" s="181"/>
      <c r="AL67" s="247"/>
      <c r="AM67" s="245"/>
      <c r="AN67" s="246"/>
      <c r="AO67" s="148"/>
    </row>
    <row r="68" spans="1:41" s="9" customFormat="1" ht="15.5">
      <c r="A68" s="192" t="s">
        <v>223</v>
      </c>
      <c r="B68" s="192"/>
      <c r="C68" s="253">
        <f t="shared" ref="C68:J68" si="7">SUM(C62:C67)</f>
        <v>6</v>
      </c>
      <c r="D68" s="254">
        <f t="shared" si="7"/>
        <v>10800</v>
      </c>
      <c r="E68" s="254">
        <f t="shared" si="7"/>
        <v>98.181818181818187</v>
      </c>
      <c r="F68" s="254">
        <f t="shared" si="7"/>
        <v>6050</v>
      </c>
      <c r="G68" s="254"/>
      <c r="H68" s="254">
        <f t="shared" si="7"/>
        <v>55.000000000000007</v>
      </c>
      <c r="I68" s="254">
        <f t="shared" si="7"/>
        <v>16850</v>
      </c>
      <c r="J68" s="254">
        <f t="shared" si="7"/>
        <v>153.18181818181819</v>
      </c>
      <c r="K68" s="255"/>
      <c r="L68" s="255"/>
      <c r="M68" s="255"/>
      <c r="N68" s="255"/>
      <c r="O68" s="255"/>
      <c r="P68" s="255"/>
      <c r="Q68" s="255"/>
      <c r="R68" s="255"/>
      <c r="S68" s="158"/>
      <c r="T68" s="255"/>
      <c r="U68" s="255"/>
      <c r="V68" s="158"/>
      <c r="W68" s="256"/>
      <c r="X68" s="158"/>
      <c r="Y68" s="158"/>
      <c r="Z68" s="158"/>
      <c r="AA68" s="158"/>
      <c r="AB68" s="158"/>
      <c r="AC68" s="158"/>
      <c r="AD68" s="256"/>
      <c r="AE68" s="256"/>
      <c r="AF68" s="256"/>
      <c r="AG68" s="256"/>
      <c r="AH68" s="257"/>
      <c r="AI68" s="257"/>
      <c r="AJ68" s="258"/>
      <c r="AK68" s="258"/>
      <c r="AL68" s="247"/>
      <c r="AM68" s="245"/>
      <c r="AN68" s="246"/>
      <c r="AO68" s="148"/>
    </row>
    <row r="69" spans="1:41" s="9" customFormat="1" ht="15.5">
      <c r="A69" s="241" t="s">
        <v>26</v>
      </c>
      <c r="B69" s="241"/>
      <c r="C69" s="259"/>
      <c r="D69" s="249"/>
      <c r="E69" s="249"/>
      <c r="F69" s="249"/>
      <c r="G69" s="249"/>
      <c r="H69" s="250"/>
      <c r="I69" s="250"/>
      <c r="J69" s="250"/>
      <c r="K69" s="242"/>
      <c r="L69" s="242"/>
      <c r="M69" s="242"/>
      <c r="N69" s="242"/>
      <c r="O69" s="242"/>
      <c r="P69" s="242"/>
      <c r="Q69" s="242"/>
      <c r="R69" s="242"/>
      <c r="S69" s="158"/>
      <c r="T69" s="242"/>
      <c r="U69" s="242"/>
      <c r="V69" s="158"/>
      <c r="W69" s="251"/>
      <c r="X69" s="158"/>
      <c r="Y69" s="158"/>
      <c r="Z69" s="158"/>
      <c r="AA69" s="158"/>
      <c r="AB69" s="158"/>
      <c r="AC69" s="158"/>
      <c r="AD69" s="251"/>
      <c r="AE69" s="251"/>
      <c r="AF69" s="251"/>
      <c r="AG69" s="251"/>
      <c r="AH69" s="245"/>
      <c r="AI69" s="245"/>
      <c r="AJ69" s="245"/>
      <c r="AK69" s="246"/>
      <c r="AL69" s="247"/>
      <c r="AM69" s="245"/>
      <c r="AN69" s="246"/>
      <c r="AO69" s="148"/>
    </row>
    <row r="70" spans="1:41" s="9" customFormat="1" ht="15.5">
      <c r="A70" s="178" t="s">
        <v>209</v>
      </c>
      <c r="B70" s="178"/>
      <c r="C70" s="248">
        <v>1</v>
      </c>
      <c r="D70" s="249">
        <v>900</v>
      </c>
      <c r="E70" s="250">
        <f>D70/S2</f>
        <v>8.1818181818181817</v>
      </c>
      <c r="F70" s="249">
        <v>400</v>
      </c>
      <c r="G70" s="249"/>
      <c r="H70" s="250">
        <f>F70/S2</f>
        <v>3.6363636363636362</v>
      </c>
      <c r="I70" s="250">
        <f>SUM(D70+F70)</f>
        <v>1300</v>
      </c>
      <c r="J70" s="250">
        <f>I70/S2</f>
        <v>11.818181818181818</v>
      </c>
      <c r="K70" s="242"/>
      <c r="L70" s="242"/>
      <c r="M70" s="242"/>
      <c r="N70" s="242"/>
      <c r="O70" s="242"/>
      <c r="P70" s="242"/>
      <c r="Q70" s="242"/>
      <c r="R70" s="242"/>
      <c r="S70" s="158"/>
      <c r="T70" s="242"/>
      <c r="U70" s="242"/>
      <c r="V70" s="158"/>
      <c r="W70" s="251"/>
      <c r="X70" s="158"/>
      <c r="Y70" s="158"/>
      <c r="Z70" s="158"/>
      <c r="AA70" s="158"/>
      <c r="AB70" s="158"/>
      <c r="AC70" s="158"/>
      <c r="AD70" s="251"/>
      <c r="AE70" s="251"/>
      <c r="AF70" s="251"/>
      <c r="AG70" s="251"/>
      <c r="AH70" s="252"/>
      <c r="AI70" s="252"/>
      <c r="AJ70" s="181"/>
      <c r="AK70" s="181"/>
      <c r="AL70" s="247"/>
      <c r="AM70" s="245"/>
      <c r="AN70" s="246"/>
      <c r="AO70" s="148"/>
    </row>
    <row r="71" spans="1:41" s="9" customFormat="1" ht="15.5">
      <c r="A71" s="178" t="s">
        <v>210</v>
      </c>
      <c r="B71" s="178"/>
      <c r="C71" s="248">
        <v>1</v>
      </c>
      <c r="D71" s="249">
        <v>600</v>
      </c>
      <c r="E71" s="250">
        <f>D71/S2</f>
        <v>5.4545454545454541</v>
      </c>
      <c r="F71" s="249">
        <v>200</v>
      </c>
      <c r="G71" s="249"/>
      <c r="H71" s="250">
        <f>F71/S2</f>
        <v>1.8181818181818181</v>
      </c>
      <c r="I71" s="250">
        <f>SUM(D71+F71)</f>
        <v>800</v>
      </c>
      <c r="J71" s="250">
        <f>I71/S2</f>
        <v>7.2727272727272725</v>
      </c>
      <c r="K71" s="242"/>
      <c r="L71" s="242"/>
      <c r="M71" s="242"/>
      <c r="N71" s="242"/>
      <c r="O71" s="242"/>
      <c r="P71" s="242"/>
      <c r="Q71" s="242"/>
      <c r="R71" s="242"/>
      <c r="S71" s="158"/>
      <c r="T71" s="242"/>
      <c r="U71" s="242"/>
      <c r="V71" s="158"/>
      <c r="W71" s="251"/>
      <c r="X71" s="158"/>
      <c r="Y71" s="158"/>
      <c r="Z71" s="158"/>
      <c r="AA71" s="158"/>
      <c r="AB71" s="158"/>
      <c r="AC71" s="158"/>
      <c r="AD71" s="251"/>
      <c r="AE71" s="251"/>
      <c r="AF71" s="251"/>
      <c r="AG71" s="251"/>
      <c r="AH71" s="252"/>
      <c r="AI71" s="252"/>
      <c r="AJ71" s="181"/>
      <c r="AK71" s="181"/>
      <c r="AL71" s="247"/>
      <c r="AM71" s="245"/>
      <c r="AN71" s="246"/>
      <c r="AO71" s="148"/>
    </row>
    <row r="72" spans="1:41" s="9" customFormat="1" ht="15.5">
      <c r="A72" s="192" t="s">
        <v>223</v>
      </c>
      <c r="B72" s="192"/>
      <c r="C72" s="253">
        <f>SUM(C70:C71)</f>
        <v>2</v>
      </c>
      <c r="D72" s="254">
        <f>SUM(D70:D71)</f>
        <v>1500</v>
      </c>
      <c r="E72" s="254">
        <f>SUM(E66:E71)</f>
        <v>125.45454545454547</v>
      </c>
      <c r="F72" s="254">
        <f>SUM(F70:F71)</f>
        <v>600</v>
      </c>
      <c r="G72" s="254"/>
      <c r="H72" s="254">
        <f>SUM(H70:H71)</f>
        <v>5.4545454545454541</v>
      </c>
      <c r="I72" s="254">
        <f>SUM(I70:I71)</f>
        <v>2100</v>
      </c>
      <c r="J72" s="254">
        <f>SUM(J70:J71)</f>
        <v>19.09090909090909</v>
      </c>
      <c r="K72" s="255"/>
      <c r="L72" s="255"/>
      <c r="M72" s="255"/>
      <c r="N72" s="255"/>
      <c r="O72" s="255"/>
      <c r="P72" s="255"/>
      <c r="Q72" s="255"/>
      <c r="R72" s="255"/>
      <c r="S72" s="158"/>
      <c r="T72" s="255"/>
      <c r="U72" s="255"/>
      <c r="V72" s="158"/>
      <c r="W72" s="256"/>
      <c r="X72" s="158"/>
      <c r="Y72" s="158"/>
      <c r="Z72" s="158"/>
      <c r="AA72" s="158"/>
      <c r="AB72" s="158"/>
      <c r="AC72" s="158"/>
      <c r="AD72" s="256"/>
      <c r="AE72" s="256"/>
      <c r="AF72" s="256"/>
      <c r="AG72" s="256"/>
      <c r="AH72" s="258"/>
      <c r="AI72" s="258"/>
      <c r="AJ72" s="185"/>
      <c r="AK72" s="185"/>
      <c r="AL72" s="247"/>
      <c r="AM72" s="245"/>
      <c r="AN72" s="246"/>
      <c r="AO72" s="148"/>
    </row>
    <row r="73" spans="1:41" s="9" customFormat="1" ht="15.5">
      <c r="A73" s="241" t="s">
        <v>27</v>
      </c>
      <c r="B73" s="241"/>
      <c r="C73" s="259"/>
      <c r="D73" s="249"/>
      <c r="E73" s="250"/>
      <c r="F73" s="249"/>
      <c r="G73" s="249"/>
      <c r="H73" s="250"/>
      <c r="I73" s="250"/>
      <c r="J73" s="250"/>
      <c r="K73" s="242"/>
      <c r="L73" s="242"/>
      <c r="M73" s="242"/>
      <c r="N73" s="242"/>
      <c r="O73" s="242"/>
      <c r="P73" s="242"/>
      <c r="Q73" s="242"/>
      <c r="R73" s="242"/>
      <c r="S73" s="158"/>
      <c r="T73" s="242"/>
      <c r="U73" s="242"/>
      <c r="V73" s="158"/>
      <c r="W73" s="251"/>
      <c r="X73" s="158"/>
      <c r="Y73" s="158"/>
      <c r="Z73" s="158"/>
      <c r="AA73" s="158"/>
      <c r="AB73" s="158"/>
      <c r="AC73" s="158"/>
      <c r="AD73" s="251"/>
      <c r="AE73" s="251"/>
      <c r="AF73" s="251"/>
      <c r="AG73" s="251"/>
      <c r="AH73" s="245"/>
      <c r="AI73" s="245"/>
      <c r="AJ73" s="260"/>
      <c r="AK73" s="261"/>
      <c r="AL73" s="247"/>
      <c r="AM73" s="245"/>
      <c r="AN73" s="246"/>
      <c r="AO73" s="148"/>
    </row>
    <row r="74" spans="1:41" s="9" customFormat="1" ht="15.5">
      <c r="A74" s="178" t="s">
        <v>211</v>
      </c>
      <c r="B74" s="178"/>
      <c r="C74" s="248">
        <v>1</v>
      </c>
      <c r="D74" s="249">
        <v>3900</v>
      </c>
      <c r="E74" s="250">
        <f>D74/S2</f>
        <v>35.454545454545453</v>
      </c>
      <c r="F74" s="249">
        <v>1250</v>
      </c>
      <c r="G74" s="249"/>
      <c r="H74" s="250">
        <f>F74/S2</f>
        <v>11.363636363636363</v>
      </c>
      <c r="I74" s="250">
        <f>SUM(D74+F74)</f>
        <v>5150</v>
      </c>
      <c r="J74" s="250">
        <f>I74/S2</f>
        <v>46.81818181818182</v>
      </c>
      <c r="K74" s="242"/>
      <c r="L74" s="242"/>
      <c r="M74" s="242"/>
      <c r="N74" s="242"/>
      <c r="O74" s="242"/>
      <c r="P74" s="242"/>
      <c r="Q74" s="242"/>
      <c r="R74" s="242"/>
      <c r="S74" s="158"/>
      <c r="T74" s="242"/>
      <c r="U74" s="242"/>
      <c r="V74" s="158"/>
      <c r="W74" s="251"/>
      <c r="X74" s="158"/>
      <c r="Y74" s="158"/>
      <c r="Z74" s="158"/>
      <c r="AA74" s="158"/>
      <c r="AB74" s="158"/>
      <c r="AC74" s="158"/>
      <c r="AD74" s="251"/>
      <c r="AE74" s="251"/>
      <c r="AF74" s="251"/>
      <c r="AG74" s="251"/>
      <c r="AH74" s="252"/>
      <c r="AI74" s="252"/>
      <c r="AJ74" s="181"/>
      <c r="AK74" s="181"/>
      <c r="AL74" s="247"/>
      <c r="AM74" s="245"/>
      <c r="AN74" s="246"/>
      <c r="AO74" s="148"/>
    </row>
    <row r="75" spans="1:41" s="9" customFormat="1" ht="15.5">
      <c r="A75" s="178" t="s">
        <v>212</v>
      </c>
      <c r="B75" s="178"/>
      <c r="C75" s="248">
        <v>1</v>
      </c>
      <c r="D75" s="249">
        <v>11100</v>
      </c>
      <c r="E75" s="250">
        <f>D75/S2</f>
        <v>100.90909090909091</v>
      </c>
      <c r="F75" s="249">
        <v>3600</v>
      </c>
      <c r="G75" s="249"/>
      <c r="H75" s="250">
        <f>F75/S2</f>
        <v>32.727272727272727</v>
      </c>
      <c r="I75" s="250">
        <f>SUM(D75+F75)</f>
        <v>14700</v>
      </c>
      <c r="J75" s="250">
        <f>I75/S2</f>
        <v>133.63636363636363</v>
      </c>
      <c r="K75" s="242"/>
      <c r="L75" s="242"/>
      <c r="M75" s="242"/>
      <c r="N75" s="242"/>
      <c r="O75" s="242"/>
      <c r="P75" s="242"/>
      <c r="Q75" s="242"/>
      <c r="R75" s="242"/>
      <c r="S75" s="158"/>
      <c r="T75" s="242"/>
      <c r="U75" s="242"/>
      <c r="V75" s="158"/>
      <c r="W75" s="251"/>
      <c r="X75" s="158"/>
      <c r="Y75" s="158"/>
      <c r="Z75" s="158"/>
      <c r="AA75" s="158"/>
      <c r="AB75" s="158"/>
      <c r="AC75" s="158"/>
      <c r="AD75" s="251"/>
      <c r="AE75" s="251"/>
      <c r="AF75" s="251"/>
      <c r="AG75" s="251"/>
      <c r="AH75" s="252"/>
      <c r="AI75" s="252"/>
      <c r="AJ75" s="181"/>
      <c r="AK75" s="181"/>
      <c r="AL75" s="247"/>
      <c r="AM75" s="245"/>
      <c r="AN75" s="246"/>
      <c r="AO75" s="148"/>
    </row>
    <row r="76" spans="1:41" s="9" customFormat="1" ht="15.5">
      <c r="A76" s="178" t="s">
        <v>206</v>
      </c>
      <c r="B76" s="178"/>
      <c r="C76" s="248">
        <v>1</v>
      </c>
      <c r="D76" s="249">
        <v>1200</v>
      </c>
      <c r="E76" s="250">
        <f>D76/S2</f>
        <v>10.909090909090908</v>
      </c>
      <c r="F76" s="249">
        <v>450</v>
      </c>
      <c r="G76" s="249"/>
      <c r="H76" s="250">
        <f>F76/S2</f>
        <v>4.0909090909090908</v>
      </c>
      <c r="I76" s="250">
        <f>SUM(D76+F76)</f>
        <v>1650</v>
      </c>
      <c r="J76" s="250">
        <f>I76/S2</f>
        <v>15</v>
      </c>
      <c r="K76" s="242"/>
      <c r="L76" s="242"/>
      <c r="M76" s="242"/>
      <c r="N76" s="242"/>
      <c r="O76" s="242"/>
      <c r="P76" s="242"/>
      <c r="Q76" s="242"/>
      <c r="R76" s="242"/>
      <c r="S76" s="158"/>
      <c r="T76" s="242"/>
      <c r="U76" s="242"/>
      <c r="V76" s="158"/>
      <c r="W76" s="251"/>
      <c r="X76" s="158"/>
      <c r="Y76" s="158"/>
      <c r="Z76" s="158"/>
      <c r="AA76" s="158"/>
      <c r="AB76" s="158"/>
      <c r="AC76" s="158"/>
      <c r="AD76" s="251"/>
      <c r="AE76" s="251"/>
      <c r="AF76" s="251"/>
      <c r="AG76" s="251"/>
      <c r="AH76" s="252"/>
      <c r="AI76" s="252"/>
      <c r="AJ76" s="181"/>
      <c r="AK76" s="181"/>
      <c r="AL76" s="247"/>
      <c r="AM76" s="245"/>
      <c r="AN76" s="246"/>
      <c r="AO76" s="148"/>
    </row>
    <row r="77" spans="1:41" s="9" customFormat="1" ht="15.5">
      <c r="A77" s="178" t="s">
        <v>213</v>
      </c>
      <c r="B77" s="178"/>
      <c r="C77" s="248">
        <v>1</v>
      </c>
      <c r="D77" s="249">
        <v>1800</v>
      </c>
      <c r="E77" s="250">
        <f>D77/S2</f>
        <v>16.363636363636363</v>
      </c>
      <c r="F77" s="249">
        <v>550</v>
      </c>
      <c r="G77" s="249"/>
      <c r="H77" s="250">
        <f>F77/S2</f>
        <v>5</v>
      </c>
      <c r="I77" s="250">
        <f>SUM(D77+F77)</f>
        <v>2350</v>
      </c>
      <c r="J77" s="250">
        <f>I77/S2</f>
        <v>21.363636363636363</v>
      </c>
      <c r="K77" s="242"/>
      <c r="L77" s="242"/>
      <c r="M77" s="242"/>
      <c r="N77" s="242"/>
      <c r="O77" s="242"/>
      <c r="P77" s="242"/>
      <c r="Q77" s="242"/>
      <c r="R77" s="242"/>
      <c r="S77" s="158"/>
      <c r="T77" s="242"/>
      <c r="U77" s="242"/>
      <c r="V77" s="158"/>
      <c r="W77" s="251"/>
      <c r="X77" s="158"/>
      <c r="Y77" s="158"/>
      <c r="Z77" s="158"/>
      <c r="AA77" s="158"/>
      <c r="AB77" s="158"/>
      <c r="AC77" s="158"/>
      <c r="AD77" s="251"/>
      <c r="AE77" s="251"/>
      <c r="AF77" s="251"/>
      <c r="AG77" s="251"/>
      <c r="AH77" s="252"/>
      <c r="AI77" s="252"/>
      <c r="AJ77" s="181"/>
      <c r="AK77" s="181"/>
      <c r="AL77" s="247"/>
      <c r="AM77" s="245"/>
      <c r="AN77" s="246"/>
      <c r="AO77" s="148"/>
    </row>
    <row r="78" spans="1:41" s="9" customFormat="1" ht="15.5">
      <c r="A78" s="192" t="s">
        <v>223</v>
      </c>
      <c r="B78" s="192"/>
      <c r="C78" s="253">
        <f>SUM(C74:C77)</f>
        <v>4</v>
      </c>
      <c r="D78" s="254">
        <f>SUM(D74:D77)</f>
        <v>18000</v>
      </c>
      <c r="E78" s="254">
        <f>SUM(E72:E77)</f>
        <v>289.09090909090918</v>
      </c>
      <c r="F78" s="254">
        <f>SUM(F74:F77)</f>
        <v>5850</v>
      </c>
      <c r="G78" s="254"/>
      <c r="H78" s="254">
        <f>SUM(H74:H77)</f>
        <v>53.181818181818187</v>
      </c>
      <c r="I78" s="254">
        <f>SUM(I76:I77)</f>
        <v>4000</v>
      </c>
      <c r="J78" s="254">
        <f>SUM(J74:J77)</f>
        <v>216.81818181818181</v>
      </c>
      <c r="K78" s="255"/>
      <c r="L78" s="255"/>
      <c r="M78" s="255"/>
      <c r="N78" s="255"/>
      <c r="O78" s="255"/>
      <c r="P78" s="255"/>
      <c r="Q78" s="255"/>
      <c r="R78" s="255"/>
      <c r="S78" s="158"/>
      <c r="T78" s="255"/>
      <c r="U78" s="255"/>
      <c r="V78" s="158"/>
      <c r="W78" s="256"/>
      <c r="X78" s="158"/>
      <c r="Y78" s="158"/>
      <c r="Z78" s="158"/>
      <c r="AA78" s="158"/>
      <c r="AB78" s="158"/>
      <c r="AC78" s="158"/>
      <c r="AD78" s="256"/>
      <c r="AE78" s="256"/>
      <c r="AF78" s="256"/>
      <c r="AG78" s="256"/>
      <c r="AH78" s="258"/>
      <c r="AI78" s="258"/>
      <c r="AJ78" s="185"/>
      <c r="AK78" s="185"/>
      <c r="AL78" s="247"/>
      <c r="AM78" s="245"/>
      <c r="AN78" s="246"/>
      <c r="AO78" s="148"/>
    </row>
    <row r="79" spans="1:41" s="9" customFormat="1" ht="15.5">
      <c r="A79" s="241" t="s">
        <v>28</v>
      </c>
      <c r="B79" s="241"/>
      <c r="C79" s="259"/>
      <c r="D79" s="249"/>
      <c r="E79" s="249"/>
      <c r="F79" s="249"/>
      <c r="G79" s="249"/>
      <c r="H79" s="250"/>
      <c r="I79" s="250"/>
      <c r="J79" s="250"/>
      <c r="K79" s="242"/>
      <c r="L79" s="242"/>
      <c r="M79" s="242"/>
      <c r="N79" s="242"/>
      <c r="O79" s="242"/>
      <c r="P79" s="242"/>
      <c r="Q79" s="242"/>
      <c r="R79" s="242"/>
      <c r="S79" s="158"/>
      <c r="T79" s="242"/>
      <c r="U79" s="242"/>
      <c r="V79" s="158"/>
      <c r="W79" s="251"/>
      <c r="X79" s="158"/>
      <c r="Y79" s="158"/>
      <c r="Z79" s="158"/>
      <c r="AA79" s="158"/>
      <c r="AB79" s="158"/>
      <c r="AC79" s="158"/>
      <c r="AD79" s="251"/>
      <c r="AE79" s="251"/>
      <c r="AF79" s="251"/>
      <c r="AG79" s="251"/>
      <c r="AH79" s="245"/>
      <c r="AI79" s="245"/>
      <c r="AJ79" s="260"/>
      <c r="AK79" s="261"/>
      <c r="AL79" s="247"/>
      <c r="AM79" s="245"/>
      <c r="AN79" s="246"/>
      <c r="AO79" s="148"/>
    </row>
    <row r="80" spans="1:41" s="9" customFormat="1" ht="15.5">
      <c r="A80" s="178" t="s">
        <v>203</v>
      </c>
      <c r="B80" s="178"/>
      <c r="C80" s="248">
        <v>1</v>
      </c>
      <c r="D80" s="249">
        <v>900</v>
      </c>
      <c r="E80" s="250">
        <f>D80/S2</f>
        <v>8.1818181818181817</v>
      </c>
      <c r="F80" s="249">
        <v>1150</v>
      </c>
      <c r="G80" s="249"/>
      <c r="H80" s="250">
        <f>F80/S2</f>
        <v>10.454545454545455</v>
      </c>
      <c r="I80" s="250">
        <f>SUM(D80+F80)</f>
        <v>2050</v>
      </c>
      <c r="J80" s="250">
        <f>I80/S2</f>
        <v>18.636363636363637</v>
      </c>
      <c r="K80" s="242"/>
      <c r="L80" s="242"/>
      <c r="M80" s="242"/>
      <c r="N80" s="242"/>
      <c r="O80" s="242"/>
      <c r="P80" s="242"/>
      <c r="Q80" s="242"/>
      <c r="R80" s="242"/>
      <c r="S80" s="158"/>
      <c r="T80" s="242"/>
      <c r="U80" s="242"/>
      <c r="V80" s="158"/>
      <c r="W80" s="251"/>
      <c r="X80" s="158"/>
      <c r="Y80" s="158"/>
      <c r="Z80" s="158"/>
      <c r="AA80" s="158"/>
      <c r="AB80" s="158"/>
      <c r="AC80" s="158"/>
      <c r="AD80" s="251"/>
      <c r="AE80" s="251"/>
      <c r="AF80" s="251"/>
      <c r="AG80" s="251"/>
      <c r="AH80" s="252"/>
      <c r="AI80" s="252"/>
      <c r="AJ80" s="181"/>
      <c r="AK80" s="181"/>
      <c r="AL80" s="247"/>
      <c r="AM80" s="245"/>
      <c r="AN80" s="246"/>
      <c r="AO80" s="148"/>
    </row>
    <row r="81" spans="1:41" s="9" customFormat="1" ht="15.5">
      <c r="A81" s="178" t="s">
        <v>207</v>
      </c>
      <c r="B81" s="178"/>
      <c r="C81" s="248">
        <v>1</v>
      </c>
      <c r="D81" s="249">
        <v>2400</v>
      </c>
      <c r="E81" s="250">
        <f>D81/S2</f>
        <v>21.818181818181817</v>
      </c>
      <c r="F81" s="249">
        <v>1300</v>
      </c>
      <c r="G81" s="249"/>
      <c r="H81" s="250">
        <f>F81/S2</f>
        <v>11.818181818181818</v>
      </c>
      <c r="I81" s="250">
        <f>SUM(D81+F81)</f>
        <v>3700</v>
      </c>
      <c r="J81" s="250">
        <f>I81/S2</f>
        <v>33.636363636363633</v>
      </c>
      <c r="K81" s="242"/>
      <c r="L81" s="242"/>
      <c r="M81" s="242"/>
      <c r="N81" s="242"/>
      <c r="O81" s="242"/>
      <c r="P81" s="242"/>
      <c r="Q81" s="242"/>
      <c r="R81" s="242"/>
      <c r="S81" s="158"/>
      <c r="T81" s="242"/>
      <c r="U81" s="242"/>
      <c r="V81" s="158"/>
      <c r="W81" s="251"/>
      <c r="X81" s="158"/>
      <c r="Y81" s="158"/>
      <c r="Z81" s="158"/>
      <c r="AA81" s="158"/>
      <c r="AB81" s="158"/>
      <c r="AC81" s="158"/>
      <c r="AD81" s="251"/>
      <c r="AE81" s="251"/>
      <c r="AF81" s="251"/>
      <c r="AG81" s="251"/>
      <c r="AH81" s="252"/>
      <c r="AI81" s="252"/>
      <c r="AJ81" s="181"/>
      <c r="AK81" s="181"/>
      <c r="AL81" s="247"/>
      <c r="AM81" s="245"/>
      <c r="AN81" s="246"/>
      <c r="AO81" s="148"/>
    </row>
    <row r="82" spans="1:41" s="9" customFormat="1" ht="15.5">
      <c r="A82" s="192" t="s">
        <v>223</v>
      </c>
      <c r="B82" s="192"/>
      <c r="C82" s="253">
        <f>SUM(C80:C81)</f>
        <v>2</v>
      </c>
      <c r="D82" s="254">
        <f>SUM(D80:D81)</f>
        <v>3300</v>
      </c>
      <c r="E82" s="254">
        <f>SUM(E76:E81)</f>
        <v>346.36363636363643</v>
      </c>
      <c r="F82" s="254">
        <f>SUM(F80:F81)</f>
        <v>2450</v>
      </c>
      <c r="G82" s="254"/>
      <c r="H82" s="254">
        <f>SUM(H80:H81)</f>
        <v>22.272727272727273</v>
      </c>
      <c r="I82" s="254">
        <f>SUM(I80:I81)</f>
        <v>5750</v>
      </c>
      <c r="J82" s="254">
        <f>SUM(J80:J81)</f>
        <v>52.272727272727266</v>
      </c>
      <c r="K82" s="255"/>
      <c r="L82" s="255"/>
      <c r="M82" s="255"/>
      <c r="N82" s="255"/>
      <c r="O82" s="255"/>
      <c r="P82" s="255"/>
      <c r="Q82" s="255"/>
      <c r="R82" s="255"/>
      <c r="S82" s="158"/>
      <c r="T82" s="255"/>
      <c r="U82" s="255"/>
      <c r="V82" s="158"/>
      <c r="W82" s="251"/>
      <c r="X82" s="158"/>
      <c r="Y82" s="158"/>
      <c r="Z82" s="158"/>
      <c r="AA82" s="158"/>
      <c r="AB82" s="158"/>
      <c r="AC82" s="158"/>
      <c r="AD82" s="256"/>
      <c r="AE82" s="256"/>
      <c r="AF82" s="256"/>
      <c r="AG82" s="256"/>
      <c r="AH82" s="258"/>
      <c r="AI82" s="258"/>
      <c r="AJ82" s="181"/>
      <c r="AK82" s="181"/>
      <c r="AL82" s="247"/>
      <c r="AM82" s="245"/>
      <c r="AN82" s="246"/>
      <c r="AO82" s="148"/>
    </row>
    <row r="83" spans="1:41" s="9" customFormat="1" ht="15.5">
      <c r="A83" s="186" t="s">
        <v>29</v>
      </c>
      <c r="B83" s="186"/>
      <c r="C83" s="262">
        <f t="shared" ref="C83:J83" si="8">SUM(C68+C72+C78+C82)</f>
        <v>14</v>
      </c>
      <c r="D83" s="263">
        <f t="shared" si="8"/>
        <v>33600</v>
      </c>
      <c r="E83" s="263">
        <f t="shared" si="8"/>
        <v>859.09090909090924</v>
      </c>
      <c r="F83" s="263">
        <f t="shared" si="8"/>
        <v>14950</v>
      </c>
      <c r="G83" s="263"/>
      <c r="H83" s="263">
        <f t="shared" si="8"/>
        <v>135.90909090909093</v>
      </c>
      <c r="I83" s="263">
        <f t="shared" si="8"/>
        <v>28700</v>
      </c>
      <c r="J83" s="263">
        <f t="shared" si="8"/>
        <v>441.36363636363637</v>
      </c>
      <c r="K83" s="264"/>
      <c r="L83" s="264"/>
      <c r="M83" s="264"/>
      <c r="N83" s="264"/>
      <c r="O83" s="264"/>
      <c r="P83" s="264"/>
      <c r="Q83" s="264"/>
      <c r="R83" s="264"/>
      <c r="S83" s="265"/>
      <c r="T83" s="264"/>
      <c r="U83" s="264"/>
      <c r="V83" s="265"/>
      <c r="W83" s="266"/>
      <c r="X83" s="265"/>
      <c r="Y83" s="265"/>
      <c r="Z83" s="265"/>
      <c r="AA83" s="265"/>
      <c r="AB83" s="265"/>
      <c r="AC83" s="265"/>
      <c r="AD83" s="266"/>
      <c r="AE83" s="266"/>
      <c r="AF83" s="266"/>
      <c r="AG83" s="266"/>
      <c r="AH83" s="267"/>
      <c r="AI83" s="267"/>
      <c r="AJ83" s="189"/>
      <c r="AK83" s="189"/>
      <c r="AL83" s="268"/>
      <c r="AM83" s="269"/>
      <c r="AN83" s="270"/>
      <c r="AO83" s="148"/>
    </row>
    <row r="84" spans="1:41" s="9" customFormat="1" ht="15.5">
      <c r="A84" s="160" t="s">
        <v>536</v>
      </c>
      <c r="B84" s="160"/>
      <c r="C84" s="236"/>
      <c r="D84" s="789" t="s">
        <v>520</v>
      </c>
      <c r="E84" s="790"/>
      <c r="F84" s="789" t="s">
        <v>449</v>
      </c>
      <c r="G84" s="791"/>
      <c r="H84" s="790"/>
      <c r="I84" s="789" t="s">
        <v>20</v>
      </c>
      <c r="J84" s="790"/>
      <c r="K84" s="272"/>
      <c r="L84" s="272"/>
      <c r="M84" s="272"/>
      <c r="N84" s="272"/>
      <c r="O84" s="272"/>
      <c r="P84" s="272"/>
      <c r="Q84" s="272"/>
      <c r="R84" s="272"/>
      <c r="S84" s="199"/>
      <c r="T84" s="272"/>
      <c r="U84" s="272"/>
      <c r="V84" s="199"/>
      <c r="W84" s="273"/>
      <c r="X84" s="199"/>
      <c r="Y84" s="199"/>
      <c r="Z84" s="199"/>
      <c r="AA84" s="199"/>
      <c r="AB84" s="199"/>
      <c r="AC84" s="199"/>
      <c r="AD84" s="274"/>
      <c r="AE84" s="274"/>
      <c r="AF84" s="274"/>
      <c r="AG84" s="274"/>
      <c r="AH84" s="275"/>
      <c r="AI84" s="275"/>
      <c r="AJ84" s="276"/>
      <c r="AK84" s="277"/>
      <c r="AL84" s="240"/>
      <c r="AM84" s="237"/>
      <c r="AN84" s="239"/>
      <c r="AO84" s="148"/>
    </row>
    <row r="85" spans="1:41" s="9" customFormat="1" ht="15.5">
      <c r="A85" s="160"/>
      <c r="B85" s="160"/>
      <c r="C85" s="236"/>
      <c r="D85" s="278" t="s">
        <v>233</v>
      </c>
      <c r="E85" s="278" t="s">
        <v>32</v>
      </c>
      <c r="F85" s="278" t="s">
        <v>233</v>
      </c>
      <c r="G85" s="278"/>
      <c r="H85" s="278" t="s">
        <v>32</v>
      </c>
      <c r="I85" s="278" t="s">
        <v>233</v>
      </c>
      <c r="J85" s="278" t="s">
        <v>32</v>
      </c>
      <c r="K85" s="272"/>
      <c r="L85" s="272"/>
      <c r="M85" s="272"/>
      <c r="N85" s="272"/>
      <c r="O85" s="272"/>
      <c r="P85" s="272"/>
      <c r="Q85" s="272"/>
      <c r="R85" s="272"/>
      <c r="S85" s="199"/>
      <c r="T85" s="272"/>
      <c r="U85" s="272"/>
      <c r="V85" s="199"/>
      <c r="W85" s="273"/>
      <c r="X85" s="199"/>
      <c r="Y85" s="199"/>
      <c r="Z85" s="199"/>
      <c r="AA85" s="199"/>
      <c r="AB85" s="199"/>
      <c r="AC85" s="199"/>
      <c r="AD85" s="274"/>
      <c r="AE85" s="274"/>
      <c r="AF85" s="274"/>
      <c r="AG85" s="274"/>
      <c r="AH85" s="275"/>
      <c r="AI85" s="275"/>
      <c r="AJ85" s="276"/>
      <c r="AK85" s="277"/>
      <c r="AL85" s="240"/>
      <c r="AM85" s="237"/>
      <c r="AN85" s="239"/>
      <c r="AO85" s="148"/>
    </row>
    <row r="86" spans="1:41" s="9" customFormat="1" ht="15.5">
      <c r="A86" s="192" t="s">
        <v>362</v>
      </c>
      <c r="B86" s="192"/>
      <c r="C86" s="248"/>
      <c r="D86" s="249"/>
      <c r="E86" s="249"/>
      <c r="F86" s="249"/>
      <c r="G86" s="249"/>
      <c r="H86" s="250"/>
      <c r="I86" s="250"/>
      <c r="J86" s="271"/>
      <c r="K86" s="242"/>
      <c r="L86" s="242"/>
      <c r="M86" s="242"/>
      <c r="N86" s="242"/>
      <c r="O86" s="242"/>
      <c r="P86" s="242"/>
      <c r="Q86" s="242"/>
      <c r="R86" s="242"/>
      <c r="S86" s="158"/>
      <c r="T86" s="242"/>
      <c r="U86" s="242"/>
      <c r="V86" s="158"/>
      <c r="W86" s="251"/>
      <c r="X86" s="158"/>
      <c r="Y86" s="158"/>
      <c r="Z86" s="158"/>
      <c r="AA86" s="158"/>
      <c r="AB86" s="158"/>
      <c r="AC86" s="158"/>
      <c r="AD86" s="256"/>
      <c r="AE86" s="256"/>
      <c r="AF86" s="256"/>
      <c r="AG86" s="256"/>
      <c r="AH86" s="252"/>
      <c r="AI86" s="252"/>
      <c r="AJ86" s="181"/>
      <c r="AK86" s="250"/>
      <c r="AL86" s="247"/>
      <c r="AM86" s="245"/>
      <c r="AN86" s="246"/>
      <c r="AO86" s="148"/>
    </row>
    <row r="87" spans="1:41" s="9" customFormat="1" ht="15.5">
      <c r="A87" s="178" t="s">
        <v>216</v>
      </c>
      <c r="B87" s="178"/>
      <c r="C87" s="248">
        <v>1</v>
      </c>
      <c r="D87" s="249">
        <v>15300</v>
      </c>
      <c r="E87" s="250">
        <f>D87/S2</f>
        <v>139.09090909090909</v>
      </c>
      <c r="F87" s="249">
        <v>7050</v>
      </c>
      <c r="G87" s="249"/>
      <c r="H87" s="250">
        <f>F87/S2</f>
        <v>64.090909090909093</v>
      </c>
      <c r="I87" s="250">
        <f>SUM(D87+F87)</f>
        <v>22350</v>
      </c>
      <c r="J87" s="250">
        <f>I87/S2</f>
        <v>203.18181818181819</v>
      </c>
      <c r="K87" s="242"/>
      <c r="L87" s="242"/>
      <c r="M87" s="242"/>
      <c r="N87" s="242"/>
      <c r="O87" s="242"/>
      <c r="P87" s="242"/>
      <c r="Q87" s="242"/>
      <c r="R87" s="242"/>
      <c r="S87" s="158"/>
      <c r="T87" s="242"/>
      <c r="U87" s="242"/>
      <c r="V87" s="158"/>
      <c r="W87" s="251"/>
      <c r="X87" s="158"/>
      <c r="Y87" s="158"/>
      <c r="Z87" s="158"/>
      <c r="AA87" s="158"/>
      <c r="AB87" s="158"/>
      <c r="AC87" s="158"/>
      <c r="AD87" s="251"/>
      <c r="AE87" s="251"/>
      <c r="AF87" s="251"/>
      <c r="AG87" s="251"/>
      <c r="AH87" s="252"/>
      <c r="AI87" s="252"/>
      <c r="AJ87" s="181"/>
      <c r="AK87" s="181"/>
      <c r="AL87" s="247"/>
      <c r="AM87" s="245"/>
      <c r="AN87" s="246"/>
      <c r="AO87" s="148"/>
    </row>
    <row r="88" spans="1:41" s="9" customFormat="1" ht="15.5">
      <c r="A88" s="178" t="s">
        <v>217</v>
      </c>
      <c r="B88" s="178"/>
      <c r="C88" s="248">
        <v>1</v>
      </c>
      <c r="D88" s="249">
        <v>14100</v>
      </c>
      <c r="E88" s="250">
        <f>D88/S2</f>
        <v>128.18181818181819</v>
      </c>
      <c r="F88" s="249">
        <v>6300</v>
      </c>
      <c r="G88" s="249"/>
      <c r="H88" s="250">
        <f>F88/S2</f>
        <v>57.272727272727273</v>
      </c>
      <c r="I88" s="250">
        <f t="shared" ref="I88:I89" si="9">SUM(D88+F88)</f>
        <v>20400</v>
      </c>
      <c r="J88" s="250">
        <f>I88/S2</f>
        <v>185.45454545454547</v>
      </c>
      <c r="K88" s="242"/>
      <c r="L88" s="242"/>
      <c r="M88" s="242"/>
      <c r="N88" s="242"/>
      <c r="O88" s="242"/>
      <c r="P88" s="242"/>
      <c r="Q88" s="242"/>
      <c r="R88" s="242"/>
      <c r="S88" s="158"/>
      <c r="T88" s="242"/>
      <c r="U88" s="242"/>
      <c r="V88" s="158"/>
      <c r="W88" s="251"/>
      <c r="X88" s="158"/>
      <c r="Y88" s="158"/>
      <c r="Z88" s="158"/>
      <c r="AA88" s="158"/>
      <c r="AB88" s="158"/>
      <c r="AC88" s="158"/>
      <c r="AD88" s="251"/>
      <c r="AE88" s="251"/>
      <c r="AF88" s="251"/>
      <c r="AG88" s="251"/>
      <c r="AH88" s="252"/>
      <c r="AI88" s="252"/>
      <c r="AJ88" s="181"/>
      <c r="AK88" s="181"/>
      <c r="AL88" s="247"/>
      <c r="AM88" s="245"/>
      <c r="AN88" s="246"/>
      <c r="AO88" s="148"/>
    </row>
    <row r="89" spans="1:41" s="9" customFormat="1" ht="15.5">
      <c r="A89" s="178" t="s">
        <v>218</v>
      </c>
      <c r="B89" s="178"/>
      <c r="C89" s="248">
        <v>1</v>
      </c>
      <c r="D89" s="249">
        <v>3000</v>
      </c>
      <c r="E89" s="250">
        <f>D89/S2</f>
        <v>27.272727272727273</v>
      </c>
      <c r="F89" s="249">
        <v>1250</v>
      </c>
      <c r="G89" s="249"/>
      <c r="H89" s="250">
        <f>F89/S2</f>
        <v>11.363636363636363</v>
      </c>
      <c r="I89" s="250">
        <f t="shared" si="9"/>
        <v>4250</v>
      </c>
      <c r="J89" s="250">
        <f>I89/S2</f>
        <v>38.636363636363633</v>
      </c>
      <c r="K89" s="242"/>
      <c r="L89" s="242"/>
      <c r="M89" s="242"/>
      <c r="N89" s="242"/>
      <c r="O89" s="242"/>
      <c r="P89" s="242"/>
      <c r="Q89" s="242"/>
      <c r="R89" s="242"/>
      <c r="S89" s="158"/>
      <c r="T89" s="242"/>
      <c r="U89" s="242"/>
      <c r="V89" s="158"/>
      <c r="W89" s="251"/>
      <c r="X89" s="158"/>
      <c r="Y89" s="158"/>
      <c r="Z89" s="158"/>
      <c r="AA89" s="158"/>
      <c r="AB89" s="158"/>
      <c r="AC89" s="158"/>
      <c r="AD89" s="251"/>
      <c r="AE89" s="251"/>
      <c r="AF89" s="251"/>
      <c r="AG89" s="251"/>
      <c r="AH89" s="252"/>
      <c r="AI89" s="252"/>
      <c r="AJ89" s="181"/>
      <c r="AK89" s="181"/>
      <c r="AL89" s="247"/>
      <c r="AM89" s="245"/>
      <c r="AN89" s="246"/>
      <c r="AO89" s="148"/>
    </row>
    <row r="90" spans="1:41" s="9" customFormat="1" ht="15.5">
      <c r="A90" s="192" t="s">
        <v>223</v>
      </c>
      <c r="B90" s="192"/>
      <c r="C90" s="253">
        <f t="shared" ref="C90:J90" si="10">SUM(C87:C89)</f>
        <v>3</v>
      </c>
      <c r="D90" s="254">
        <f t="shared" si="10"/>
        <v>32400</v>
      </c>
      <c r="E90" s="254">
        <f t="shared" si="10"/>
        <v>294.5454545454545</v>
      </c>
      <c r="F90" s="254">
        <f t="shared" si="10"/>
        <v>14600</v>
      </c>
      <c r="G90" s="254"/>
      <c r="H90" s="254">
        <f t="shared" si="10"/>
        <v>132.72727272727275</v>
      </c>
      <c r="I90" s="254">
        <f t="shared" si="10"/>
        <v>47000</v>
      </c>
      <c r="J90" s="254">
        <f t="shared" si="10"/>
        <v>427.27272727272725</v>
      </c>
      <c r="K90" s="255"/>
      <c r="L90" s="255"/>
      <c r="M90" s="255"/>
      <c r="N90" s="255"/>
      <c r="O90" s="255"/>
      <c r="P90" s="255"/>
      <c r="Q90" s="255"/>
      <c r="R90" s="255"/>
      <c r="S90" s="158"/>
      <c r="T90" s="255"/>
      <c r="U90" s="255"/>
      <c r="V90" s="158"/>
      <c r="W90" s="256"/>
      <c r="X90" s="158"/>
      <c r="Y90" s="158"/>
      <c r="Z90" s="158"/>
      <c r="AA90" s="158"/>
      <c r="AB90" s="158"/>
      <c r="AC90" s="158"/>
      <c r="AD90" s="256"/>
      <c r="AE90" s="256"/>
      <c r="AF90" s="256"/>
      <c r="AG90" s="256"/>
      <c r="AH90" s="258"/>
      <c r="AI90" s="258"/>
      <c r="AJ90" s="258"/>
      <c r="AK90" s="258"/>
      <c r="AL90" s="247"/>
      <c r="AM90" s="245"/>
      <c r="AN90" s="246"/>
      <c r="AO90" s="148"/>
    </row>
    <row r="91" spans="1:41" s="9" customFormat="1" ht="15.5">
      <c r="A91" s="241" t="s">
        <v>30</v>
      </c>
      <c r="B91" s="241"/>
      <c r="C91" s="259"/>
      <c r="D91" s="249"/>
      <c r="E91" s="249"/>
      <c r="F91" s="249"/>
      <c r="G91" s="249"/>
      <c r="H91" s="250"/>
      <c r="I91" s="250"/>
      <c r="J91" s="271"/>
      <c r="K91" s="242"/>
      <c r="L91" s="242"/>
      <c r="M91" s="242"/>
      <c r="N91" s="242"/>
      <c r="O91" s="242"/>
      <c r="P91" s="242"/>
      <c r="Q91" s="242"/>
      <c r="R91" s="242"/>
      <c r="S91" s="158"/>
      <c r="T91" s="242"/>
      <c r="U91" s="242"/>
      <c r="V91" s="158"/>
      <c r="W91" s="251"/>
      <c r="X91" s="158"/>
      <c r="Y91" s="158"/>
      <c r="Z91" s="158"/>
      <c r="AA91" s="158"/>
      <c r="AB91" s="158"/>
      <c r="AC91" s="158"/>
      <c r="AD91" s="256"/>
      <c r="AE91" s="256"/>
      <c r="AF91" s="256"/>
      <c r="AG91" s="256"/>
      <c r="AH91" s="252"/>
      <c r="AI91" s="252"/>
      <c r="AJ91" s="252"/>
      <c r="AK91" s="251"/>
      <c r="AL91" s="247"/>
      <c r="AM91" s="245"/>
      <c r="AN91" s="246"/>
      <c r="AO91" s="148"/>
    </row>
    <row r="92" spans="1:41" s="9" customFormat="1" ht="15.5">
      <c r="A92" s="178" t="s">
        <v>219</v>
      </c>
      <c r="B92" s="178"/>
      <c r="C92" s="248">
        <v>1</v>
      </c>
      <c r="D92" s="249">
        <v>4500</v>
      </c>
      <c r="E92" s="250">
        <f>D92/S2</f>
        <v>40.909090909090907</v>
      </c>
      <c r="F92" s="249">
        <v>900</v>
      </c>
      <c r="G92" s="249"/>
      <c r="H92" s="250">
        <f>F92/S2</f>
        <v>8.1818181818181817</v>
      </c>
      <c r="I92" s="250">
        <f>SUM(D92+F92)</f>
        <v>5400</v>
      </c>
      <c r="J92" s="250">
        <f>I92/S2</f>
        <v>49.090909090909093</v>
      </c>
      <c r="K92" s="242"/>
      <c r="L92" s="242"/>
      <c r="M92" s="242"/>
      <c r="N92" s="242"/>
      <c r="O92" s="242"/>
      <c r="P92" s="242"/>
      <c r="Q92" s="242"/>
      <c r="R92" s="242"/>
      <c r="S92" s="158"/>
      <c r="T92" s="242"/>
      <c r="U92" s="242"/>
      <c r="V92" s="158"/>
      <c r="W92" s="251"/>
      <c r="X92" s="158"/>
      <c r="Y92" s="158"/>
      <c r="Z92" s="158"/>
      <c r="AA92" s="158"/>
      <c r="AB92" s="158"/>
      <c r="AC92" s="158"/>
      <c r="AD92" s="251"/>
      <c r="AE92" s="251"/>
      <c r="AF92" s="251"/>
      <c r="AG92" s="251"/>
      <c r="AH92" s="252"/>
      <c r="AI92" s="252"/>
      <c r="AJ92" s="181"/>
      <c r="AK92" s="181"/>
      <c r="AL92" s="247"/>
      <c r="AM92" s="245"/>
      <c r="AN92" s="246"/>
      <c r="AO92" s="148"/>
    </row>
    <row r="93" spans="1:41" s="9" customFormat="1" ht="15.5">
      <c r="A93" s="178" t="s">
        <v>220</v>
      </c>
      <c r="B93" s="178"/>
      <c r="C93" s="248">
        <v>1</v>
      </c>
      <c r="D93" s="249">
        <v>3300</v>
      </c>
      <c r="E93" s="250">
        <f>D93/S2</f>
        <v>30</v>
      </c>
      <c r="F93" s="249">
        <v>300</v>
      </c>
      <c r="G93" s="249"/>
      <c r="H93" s="250">
        <f>F93/S2</f>
        <v>2.7272727272727271</v>
      </c>
      <c r="I93" s="250">
        <f t="shared" ref="I93:I94" si="11">SUM(D93+F93)</f>
        <v>3600</v>
      </c>
      <c r="J93" s="250">
        <f>I93/S2</f>
        <v>32.727272727272727</v>
      </c>
      <c r="K93" s="242"/>
      <c r="L93" s="242"/>
      <c r="M93" s="242"/>
      <c r="N93" s="242"/>
      <c r="O93" s="242"/>
      <c r="P93" s="242"/>
      <c r="Q93" s="242"/>
      <c r="R93" s="242"/>
      <c r="S93" s="158"/>
      <c r="T93" s="242"/>
      <c r="U93" s="242"/>
      <c r="V93" s="158"/>
      <c r="W93" s="251"/>
      <c r="X93" s="158"/>
      <c r="Y93" s="158"/>
      <c r="Z93" s="158"/>
      <c r="AA93" s="158"/>
      <c r="AB93" s="158"/>
      <c r="AC93" s="158"/>
      <c r="AD93" s="251"/>
      <c r="AE93" s="251"/>
      <c r="AF93" s="251"/>
      <c r="AG93" s="251"/>
      <c r="AH93" s="252"/>
      <c r="AI93" s="252"/>
      <c r="AJ93" s="181"/>
      <c r="AK93" s="181"/>
      <c r="AL93" s="247"/>
      <c r="AM93" s="245"/>
      <c r="AN93" s="246"/>
      <c r="AO93" s="148"/>
    </row>
    <row r="94" spans="1:41" s="9" customFormat="1" ht="15.5">
      <c r="A94" s="178" t="s">
        <v>221</v>
      </c>
      <c r="B94" s="178"/>
      <c r="C94" s="248">
        <v>1</v>
      </c>
      <c r="D94" s="249">
        <v>3600</v>
      </c>
      <c r="E94" s="250">
        <f>D94/S2</f>
        <v>32.727272727272727</v>
      </c>
      <c r="F94" s="249">
        <v>550</v>
      </c>
      <c r="G94" s="249"/>
      <c r="H94" s="250">
        <f>F94/S2</f>
        <v>5</v>
      </c>
      <c r="I94" s="250">
        <f t="shared" si="11"/>
        <v>4150</v>
      </c>
      <c r="J94" s="250">
        <f>I94/S2</f>
        <v>37.727272727272727</v>
      </c>
      <c r="K94" s="242"/>
      <c r="L94" s="242"/>
      <c r="M94" s="242"/>
      <c r="N94" s="242"/>
      <c r="O94" s="242"/>
      <c r="P94" s="242"/>
      <c r="Q94" s="242"/>
      <c r="R94" s="242"/>
      <c r="S94" s="158"/>
      <c r="T94" s="242"/>
      <c r="U94" s="242"/>
      <c r="V94" s="158"/>
      <c r="W94" s="251"/>
      <c r="X94" s="158"/>
      <c r="Y94" s="158"/>
      <c r="Z94" s="158"/>
      <c r="AA94" s="158"/>
      <c r="AB94" s="158"/>
      <c r="AC94" s="158"/>
      <c r="AD94" s="251"/>
      <c r="AE94" s="251"/>
      <c r="AF94" s="251"/>
      <c r="AG94" s="251"/>
      <c r="AH94" s="252"/>
      <c r="AI94" s="252"/>
      <c r="AJ94" s="181"/>
      <c r="AK94" s="181"/>
      <c r="AL94" s="247"/>
      <c r="AM94" s="245"/>
      <c r="AN94" s="246"/>
      <c r="AO94" s="148"/>
    </row>
    <row r="95" spans="1:41" s="9" customFormat="1" ht="15.5">
      <c r="A95" s="192" t="s">
        <v>223</v>
      </c>
      <c r="B95" s="192"/>
      <c r="C95" s="253">
        <f t="shared" ref="C95:J95" si="12">SUM(C92:C94)</f>
        <v>3</v>
      </c>
      <c r="D95" s="254">
        <f t="shared" si="12"/>
        <v>11400</v>
      </c>
      <c r="E95" s="254">
        <f t="shared" si="12"/>
        <v>103.63636363636363</v>
      </c>
      <c r="F95" s="254">
        <f t="shared" si="12"/>
        <v>1750</v>
      </c>
      <c r="G95" s="254"/>
      <c r="H95" s="254">
        <f t="shared" si="12"/>
        <v>15.909090909090908</v>
      </c>
      <c r="I95" s="254">
        <f t="shared" si="12"/>
        <v>13150</v>
      </c>
      <c r="J95" s="254">
        <f t="shared" si="12"/>
        <v>119.54545454545453</v>
      </c>
      <c r="K95" s="255"/>
      <c r="L95" s="255"/>
      <c r="M95" s="255"/>
      <c r="N95" s="255"/>
      <c r="O95" s="255"/>
      <c r="P95" s="255"/>
      <c r="Q95" s="255"/>
      <c r="R95" s="255"/>
      <c r="S95" s="158"/>
      <c r="T95" s="255"/>
      <c r="U95" s="255"/>
      <c r="V95" s="158"/>
      <c r="W95" s="256"/>
      <c r="X95" s="158"/>
      <c r="Y95" s="158"/>
      <c r="Z95" s="158"/>
      <c r="AA95" s="158"/>
      <c r="AB95" s="158"/>
      <c r="AC95" s="158"/>
      <c r="AD95" s="256"/>
      <c r="AE95" s="256"/>
      <c r="AF95" s="256"/>
      <c r="AG95" s="256"/>
      <c r="AH95" s="258"/>
      <c r="AI95" s="258"/>
      <c r="AJ95" s="185"/>
      <c r="AK95" s="185"/>
      <c r="AL95" s="247"/>
      <c r="AM95" s="245"/>
      <c r="AN95" s="246"/>
      <c r="AO95" s="148"/>
    </row>
    <row r="96" spans="1:41" s="9" customFormat="1" ht="15.5">
      <c r="A96" s="241" t="s">
        <v>31</v>
      </c>
      <c r="B96" s="241"/>
      <c r="C96" s="259"/>
      <c r="D96" s="249"/>
      <c r="E96" s="249"/>
      <c r="F96" s="249"/>
      <c r="G96" s="249"/>
      <c r="H96" s="250"/>
      <c r="I96" s="250"/>
      <c r="J96" s="271"/>
      <c r="K96" s="242"/>
      <c r="L96" s="242"/>
      <c r="M96" s="242"/>
      <c r="N96" s="242"/>
      <c r="O96" s="242"/>
      <c r="P96" s="242"/>
      <c r="Q96" s="242"/>
      <c r="R96" s="242"/>
      <c r="S96" s="158"/>
      <c r="T96" s="242"/>
      <c r="U96" s="242"/>
      <c r="V96" s="158"/>
      <c r="W96" s="251"/>
      <c r="X96" s="158"/>
      <c r="Y96" s="158"/>
      <c r="Z96" s="158"/>
      <c r="AA96" s="158"/>
      <c r="AB96" s="158"/>
      <c r="AC96" s="158"/>
      <c r="AD96" s="256"/>
      <c r="AE96" s="256"/>
      <c r="AF96" s="256"/>
      <c r="AG96" s="256"/>
      <c r="AH96" s="252"/>
      <c r="AI96" s="252"/>
      <c r="AJ96" s="252"/>
      <c r="AK96" s="251"/>
      <c r="AL96" s="247"/>
      <c r="AM96" s="245"/>
      <c r="AN96" s="246"/>
      <c r="AO96" s="148"/>
    </row>
    <row r="97" spans="1:44" s="9" customFormat="1" ht="15.5">
      <c r="A97" s="178" t="s">
        <v>222</v>
      </c>
      <c r="B97" s="178"/>
      <c r="C97" s="248">
        <v>1</v>
      </c>
      <c r="D97" s="254">
        <v>11100</v>
      </c>
      <c r="E97" s="250">
        <f>D97/S2</f>
        <v>100.90909090909091</v>
      </c>
      <c r="F97" s="254">
        <v>4200</v>
      </c>
      <c r="G97" s="254"/>
      <c r="H97" s="250">
        <f>F97/S2</f>
        <v>38.18181818181818</v>
      </c>
      <c r="I97" s="250">
        <f>SUM(D97+F97)</f>
        <v>15300</v>
      </c>
      <c r="J97" s="250">
        <f>I97/S2</f>
        <v>139.09090909090909</v>
      </c>
      <c r="K97" s="255"/>
      <c r="L97" s="255"/>
      <c r="M97" s="255"/>
      <c r="N97" s="255"/>
      <c r="O97" s="255"/>
      <c r="P97" s="255"/>
      <c r="Q97" s="255"/>
      <c r="R97" s="255"/>
      <c r="S97" s="158"/>
      <c r="T97" s="255"/>
      <c r="U97" s="255"/>
      <c r="V97" s="158"/>
      <c r="W97" s="256"/>
      <c r="X97" s="158"/>
      <c r="Y97" s="158"/>
      <c r="Z97" s="158"/>
      <c r="AA97" s="158"/>
      <c r="AB97" s="158"/>
      <c r="AC97" s="158"/>
      <c r="AD97" s="251"/>
      <c r="AE97" s="251"/>
      <c r="AF97" s="251"/>
      <c r="AG97" s="251"/>
      <c r="AH97" s="252"/>
      <c r="AI97" s="252"/>
      <c r="AJ97" s="181"/>
      <c r="AK97" s="181"/>
      <c r="AL97" s="247"/>
      <c r="AM97" s="245"/>
      <c r="AN97" s="246"/>
      <c r="AO97" s="148"/>
    </row>
    <row r="98" spans="1:44" s="9" customFormat="1" ht="15.5">
      <c r="A98" s="192" t="s">
        <v>223</v>
      </c>
      <c r="B98" s="192"/>
      <c r="C98" s="253">
        <f>C97</f>
        <v>1</v>
      </c>
      <c r="D98" s="249"/>
      <c r="E98" s="249"/>
      <c r="F98" s="249"/>
      <c r="G98" s="249"/>
      <c r="H98" s="250"/>
      <c r="I98" s="250"/>
      <c r="J98" s="271"/>
      <c r="K98" s="242"/>
      <c r="L98" s="242"/>
      <c r="M98" s="242"/>
      <c r="N98" s="242"/>
      <c r="O98" s="242"/>
      <c r="P98" s="242"/>
      <c r="Q98" s="242"/>
      <c r="R98" s="242"/>
      <c r="S98" s="158"/>
      <c r="T98" s="242"/>
      <c r="U98" s="242"/>
      <c r="V98" s="158"/>
      <c r="W98" s="251"/>
      <c r="X98" s="158"/>
      <c r="Y98" s="158"/>
      <c r="Z98" s="158"/>
      <c r="AA98" s="158"/>
      <c r="AB98" s="158"/>
      <c r="AC98" s="158"/>
      <c r="AD98" s="256"/>
      <c r="AE98" s="256"/>
      <c r="AF98" s="256"/>
      <c r="AG98" s="256"/>
      <c r="AH98" s="252"/>
      <c r="AI98" s="252"/>
      <c r="AJ98" s="181"/>
      <c r="AK98" s="250"/>
      <c r="AL98" s="247"/>
      <c r="AM98" s="245"/>
      <c r="AN98" s="246"/>
      <c r="AO98" s="148"/>
    </row>
    <row r="99" spans="1:44" s="9" customFormat="1" ht="15.5">
      <c r="A99" s="241" t="s">
        <v>359</v>
      </c>
      <c r="B99" s="241"/>
      <c r="C99" s="259"/>
      <c r="D99" s="249"/>
      <c r="E99" s="249"/>
      <c r="F99" s="249"/>
      <c r="G99" s="249"/>
      <c r="H99" s="250"/>
      <c r="I99" s="250"/>
      <c r="J99" s="250"/>
      <c r="K99" s="242"/>
      <c r="L99" s="242"/>
      <c r="M99" s="242"/>
      <c r="N99" s="242"/>
      <c r="O99" s="242"/>
      <c r="P99" s="242"/>
      <c r="Q99" s="242"/>
      <c r="R99" s="242"/>
      <c r="S99" s="158"/>
      <c r="T99" s="242"/>
      <c r="U99" s="242"/>
      <c r="V99" s="158"/>
      <c r="W99" s="251"/>
      <c r="X99" s="158"/>
      <c r="Y99" s="158"/>
      <c r="Z99" s="158"/>
      <c r="AA99" s="158"/>
      <c r="AB99" s="158"/>
      <c r="AC99" s="158"/>
      <c r="AD99" s="251"/>
      <c r="AE99" s="251"/>
      <c r="AF99" s="251"/>
      <c r="AG99" s="251"/>
      <c r="AH99" s="252"/>
      <c r="AI99" s="252"/>
      <c r="AJ99" s="181"/>
      <c r="AK99" s="250"/>
      <c r="AL99" s="247"/>
      <c r="AM99" s="245"/>
      <c r="AN99" s="246"/>
      <c r="AO99" s="148"/>
    </row>
    <row r="100" spans="1:44" s="9" customFormat="1" ht="15.5">
      <c r="A100" s="178" t="s">
        <v>214</v>
      </c>
      <c r="B100" s="178"/>
      <c r="C100" s="248">
        <v>1</v>
      </c>
      <c r="D100" s="249">
        <v>15300</v>
      </c>
      <c r="E100" s="250">
        <f>D100/S2</f>
        <v>139.09090909090909</v>
      </c>
      <c r="F100" s="249">
        <v>6100</v>
      </c>
      <c r="G100" s="249"/>
      <c r="H100" s="250">
        <f>F100/S2</f>
        <v>55.454545454545453</v>
      </c>
      <c r="I100" s="250">
        <f>SUM(D100+F100)</f>
        <v>21400</v>
      </c>
      <c r="J100" s="250">
        <f>I100/S2</f>
        <v>194.54545454545453</v>
      </c>
      <c r="K100" s="242"/>
      <c r="L100" s="242"/>
      <c r="M100" s="242"/>
      <c r="N100" s="242"/>
      <c r="O100" s="242"/>
      <c r="P100" s="242"/>
      <c r="Q100" s="242"/>
      <c r="R100" s="242"/>
      <c r="S100" s="158"/>
      <c r="T100" s="242"/>
      <c r="U100" s="242"/>
      <c r="V100" s="158"/>
      <c r="W100" s="251"/>
      <c r="X100" s="158"/>
      <c r="Y100" s="158"/>
      <c r="Z100" s="158"/>
      <c r="AA100" s="158"/>
      <c r="AB100" s="158"/>
      <c r="AC100" s="158"/>
      <c r="AD100" s="251"/>
      <c r="AE100" s="251"/>
      <c r="AF100" s="251"/>
      <c r="AG100" s="251"/>
      <c r="AH100" s="252"/>
      <c r="AI100" s="252"/>
      <c r="AJ100" s="181"/>
      <c r="AK100" s="181"/>
      <c r="AL100" s="247"/>
      <c r="AM100" s="245"/>
      <c r="AN100" s="246"/>
      <c r="AO100" s="148"/>
    </row>
    <row r="101" spans="1:44" s="9" customFormat="1" ht="15.5">
      <c r="A101" s="178" t="s">
        <v>215</v>
      </c>
      <c r="B101" s="178"/>
      <c r="C101" s="248">
        <v>1</v>
      </c>
      <c r="D101" s="249">
        <v>7200</v>
      </c>
      <c r="E101" s="250">
        <f>D101/S2</f>
        <v>65.454545454545453</v>
      </c>
      <c r="F101" s="249">
        <v>2900</v>
      </c>
      <c r="G101" s="249"/>
      <c r="H101" s="250">
        <f>F101/S2</f>
        <v>26.363636363636363</v>
      </c>
      <c r="I101" s="250">
        <f>SUM(D101+F101)</f>
        <v>10100</v>
      </c>
      <c r="J101" s="250">
        <f>I101/S2</f>
        <v>91.818181818181813</v>
      </c>
      <c r="K101" s="242"/>
      <c r="L101" s="242"/>
      <c r="M101" s="242"/>
      <c r="N101" s="242"/>
      <c r="O101" s="242"/>
      <c r="P101" s="242"/>
      <c r="Q101" s="242"/>
      <c r="R101" s="242"/>
      <c r="S101" s="158"/>
      <c r="T101" s="242"/>
      <c r="U101" s="242"/>
      <c r="V101" s="158"/>
      <c r="W101" s="251"/>
      <c r="X101" s="158"/>
      <c r="Y101" s="158"/>
      <c r="Z101" s="158"/>
      <c r="AA101" s="158"/>
      <c r="AB101" s="158"/>
      <c r="AC101" s="158"/>
      <c r="AD101" s="251"/>
      <c r="AE101" s="251"/>
      <c r="AF101" s="251"/>
      <c r="AG101" s="251"/>
      <c r="AH101" s="252"/>
      <c r="AI101" s="252"/>
      <c r="AJ101" s="181"/>
      <c r="AK101" s="181"/>
      <c r="AL101" s="247"/>
      <c r="AM101" s="245"/>
      <c r="AN101" s="246"/>
      <c r="AO101" s="148"/>
    </row>
    <row r="102" spans="1:44" s="9" customFormat="1" ht="15.5">
      <c r="A102" s="192" t="s">
        <v>223</v>
      </c>
      <c r="B102" s="192"/>
      <c r="C102" s="253">
        <f t="shared" ref="C102:J102" si="13">SUM(C100:C101)</f>
        <v>2</v>
      </c>
      <c r="D102" s="254">
        <f t="shared" si="13"/>
        <v>22500</v>
      </c>
      <c r="E102" s="254">
        <f t="shared" si="13"/>
        <v>204.54545454545456</v>
      </c>
      <c r="F102" s="254">
        <f t="shared" si="13"/>
        <v>9000</v>
      </c>
      <c r="G102" s="254"/>
      <c r="H102" s="254">
        <f t="shared" si="13"/>
        <v>81.818181818181813</v>
      </c>
      <c r="I102" s="254">
        <f t="shared" si="13"/>
        <v>31500</v>
      </c>
      <c r="J102" s="254">
        <f t="shared" si="13"/>
        <v>286.36363636363637</v>
      </c>
      <c r="K102" s="255"/>
      <c r="L102" s="255"/>
      <c r="M102" s="255"/>
      <c r="N102" s="255"/>
      <c r="O102" s="255"/>
      <c r="P102" s="255"/>
      <c r="Q102" s="255"/>
      <c r="R102" s="255"/>
      <c r="S102" s="158"/>
      <c r="T102" s="255"/>
      <c r="U102" s="255"/>
      <c r="V102" s="158"/>
      <c r="W102" s="256"/>
      <c r="X102" s="158"/>
      <c r="Y102" s="158"/>
      <c r="Z102" s="158"/>
      <c r="AA102" s="158"/>
      <c r="AB102" s="158"/>
      <c r="AC102" s="158"/>
      <c r="AD102" s="256"/>
      <c r="AE102" s="256"/>
      <c r="AF102" s="256"/>
      <c r="AG102" s="256"/>
      <c r="AH102" s="252"/>
      <c r="AI102" s="252"/>
      <c r="AJ102" s="181"/>
      <c r="AK102" s="181"/>
      <c r="AL102" s="247"/>
      <c r="AM102" s="245"/>
      <c r="AN102" s="246"/>
      <c r="AO102" s="148"/>
    </row>
    <row r="103" spans="1:44" s="19" customFormat="1" ht="15.5">
      <c r="A103" s="186" t="s">
        <v>443</v>
      </c>
      <c r="B103" s="186"/>
      <c r="C103" s="262">
        <f>SUM(C90+C95+C98+C102)</f>
        <v>9</v>
      </c>
      <c r="D103" s="263">
        <f t="shared" ref="D103:J103" si="14">D90+D95+D97+D102</f>
        <v>77400</v>
      </c>
      <c r="E103" s="263">
        <f t="shared" si="14"/>
        <v>703.63636363636351</v>
      </c>
      <c r="F103" s="263">
        <f t="shared" si="14"/>
        <v>29550</v>
      </c>
      <c r="G103" s="263"/>
      <c r="H103" s="263">
        <f t="shared" si="14"/>
        <v>268.63636363636363</v>
      </c>
      <c r="I103" s="263">
        <f t="shared" si="14"/>
        <v>106950</v>
      </c>
      <c r="J103" s="263">
        <f t="shared" si="14"/>
        <v>972.27272727272725</v>
      </c>
      <c r="K103" s="264"/>
      <c r="L103" s="264"/>
      <c r="M103" s="264"/>
      <c r="N103" s="264"/>
      <c r="O103" s="264"/>
      <c r="P103" s="264"/>
      <c r="Q103" s="264"/>
      <c r="R103" s="264"/>
      <c r="S103" s="279"/>
      <c r="T103" s="264"/>
      <c r="U103" s="264"/>
      <c r="V103" s="279"/>
      <c r="W103" s="266"/>
      <c r="X103" s="279"/>
      <c r="Y103" s="279"/>
      <c r="Z103" s="279"/>
      <c r="AA103" s="279"/>
      <c r="AB103" s="279"/>
      <c r="AC103" s="279"/>
      <c r="AD103" s="266"/>
      <c r="AE103" s="266"/>
      <c r="AF103" s="266"/>
      <c r="AG103" s="266"/>
      <c r="AH103" s="267"/>
      <c r="AI103" s="267"/>
      <c r="AJ103" s="189"/>
      <c r="AK103" s="189"/>
      <c r="AL103" s="280"/>
      <c r="AM103" s="281"/>
      <c r="AN103" s="282"/>
      <c r="AO103" s="149"/>
      <c r="AR103" s="9"/>
    </row>
    <row r="104" spans="1:44" ht="15.5">
      <c r="A104" s="174" t="s">
        <v>364</v>
      </c>
      <c r="B104" s="174"/>
      <c r="C104" s="228">
        <f t="shared" ref="C104:J104" si="15">SUM(C83+C103)</f>
        <v>23</v>
      </c>
      <c r="D104" s="283">
        <f t="shared" si="15"/>
        <v>111000</v>
      </c>
      <c r="E104" s="283">
        <f t="shared" si="15"/>
        <v>1562.7272727272727</v>
      </c>
      <c r="F104" s="283">
        <f t="shared" si="15"/>
        <v>44500</v>
      </c>
      <c r="G104" s="283"/>
      <c r="H104" s="284">
        <f t="shared" si="15"/>
        <v>404.54545454545456</v>
      </c>
      <c r="I104" s="283">
        <f t="shared" si="15"/>
        <v>135650</v>
      </c>
      <c r="J104" s="283">
        <f t="shared" si="15"/>
        <v>1413.6363636363635</v>
      </c>
      <c r="K104" s="228"/>
      <c r="L104" s="228"/>
      <c r="M104" s="228"/>
      <c r="N104" s="228"/>
      <c r="O104" s="228"/>
      <c r="P104" s="228"/>
      <c r="Q104" s="228"/>
      <c r="R104" s="228"/>
      <c r="S104" s="285"/>
      <c r="T104" s="285"/>
      <c r="U104" s="285"/>
      <c r="V104" s="285"/>
      <c r="W104" s="228"/>
      <c r="X104" s="285"/>
      <c r="Y104" s="285"/>
      <c r="Z104" s="285"/>
      <c r="AA104" s="285"/>
      <c r="AB104" s="285"/>
      <c r="AC104" s="285"/>
      <c r="AD104" s="285"/>
      <c r="AE104" s="285"/>
      <c r="AF104" s="285"/>
      <c r="AG104" s="285"/>
      <c r="AH104" s="285"/>
      <c r="AI104" s="285"/>
      <c r="AJ104" s="285"/>
      <c r="AK104" s="285"/>
      <c r="AL104" s="285"/>
      <c r="AM104" s="285"/>
      <c r="AN104" s="285"/>
      <c r="AO104" s="134"/>
    </row>
    <row r="105" spans="1:44" ht="15.5">
      <c r="A105" s="160"/>
      <c r="B105" s="160"/>
      <c r="C105" s="773" t="s">
        <v>517</v>
      </c>
      <c r="D105" s="774"/>
      <c r="E105" s="771" t="s">
        <v>523</v>
      </c>
      <c r="F105" s="772"/>
      <c r="G105" s="672" t="s">
        <v>23</v>
      </c>
      <c r="H105" s="771" t="s">
        <v>554</v>
      </c>
      <c r="I105" s="772"/>
      <c r="J105" s="771" t="s">
        <v>555</v>
      </c>
      <c r="K105" s="772"/>
      <c r="L105" s="672" t="s">
        <v>23</v>
      </c>
      <c r="M105" s="771" t="s">
        <v>556</v>
      </c>
      <c r="N105" s="772"/>
      <c r="O105" s="771" t="s">
        <v>557</v>
      </c>
      <c r="P105" s="772"/>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34"/>
    </row>
    <row r="106" spans="1:44" ht="15.5">
      <c r="A106" s="163"/>
      <c r="B106" s="163"/>
      <c r="C106" s="209" t="s">
        <v>233</v>
      </c>
      <c r="D106" s="209" t="s">
        <v>32</v>
      </c>
      <c r="E106" s="673" t="s">
        <v>233</v>
      </c>
      <c r="F106" s="673" t="s">
        <v>32</v>
      </c>
      <c r="G106" s="673"/>
      <c r="H106" s="673" t="s">
        <v>233</v>
      </c>
      <c r="I106" s="673" t="s">
        <v>32</v>
      </c>
      <c r="J106" s="673" t="s">
        <v>233</v>
      </c>
      <c r="K106" s="673" t="s">
        <v>32</v>
      </c>
      <c r="L106" s="673"/>
      <c r="M106" s="673" t="s">
        <v>233</v>
      </c>
      <c r="N106" s="673" t="s">
        <v>32</v>
      </c>
      <c r="O106" s="673" t="s">
        <v>233</v>
      </c>
      <c r="P106" s="673" t="s">
        <v>32</v>
      </c>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34"/>
    </row>
    <row r="107" spans="1:44" ht="15.5">
      <c r="A107" s="192" t="s">
        <v>10</v>
      </c>
      <c r="B107" s="192"/>
      <c r="C107" s="212">
        <f>I83/C34</f>
        <v>521.81818181818187</v>
      </c>
      <c r="D107" s="212">
        <f>C107/S2</f>
        <v>4.7438016528925626</v>
      </c>
      <c r="E107" s="674">
        <f>C107*C34</f>
        <v>28700.000000000004</v>
      </c>
      <c r="F107" s="674">
        <f>E107/S2</f>
        <v>260.90909090909093</v>
      </c>
      <c r="G107" s="675">
        <v>1</v>
      </c>
      <c r="H107" s="675">
        <f>J107/C34</f>
        <v>19582.439024390245</v>
      </c>
      <c r="I107" s="674">
        <f>H107/S2</f>
        <v>178.02217294900223</v>
      </c>
      <c r="J107" s="675">
        <f>G107*D34*Personnel!O13*Personnel!N13*12</f>
        <v>1077034.1463414636</v>
      </c>
      <c r="K107" s="674">
        <f>J107/S2</f>
        <v>9791.2195121951227</v>
      </c>
      <c r="L107" s="675">
        <v>0</v>
      </c>
      <c r="M107" s="675">
        <v>0</v>
      </c>
      <c r="N107" s="675">
        <v>0</v>
      </c>
      <c r="O107" s="675">
        <v>0</v>
      </c>
      <c r="P107" s="675">
        <v>0</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34"/>
    </row>
    <row r="108" spans="1:44" ht="15.5">
      <c r="A108" s="192" t="s">
        <v>19</v>
      </c>
      <c r="B108" s="192"/>
      <c r="C108" s="212">
        <f>I103/C40</f>
        <v>1572.7941176470588</v>
      </c>
      <c r="D108" s="212">
        <f>C108/S2</f>
        <v>14.298128342245988</v>
      </c>
      <c r="E108" s="674">
        <f>C108*C40</f>
        <v>106950</v>
      </c>
      <c r="F108" s="674">
        <f>E108/S2</f>
        <v>972.27272727272725</v>
      </c>
      <c r="G108" s="676">
        <v>1</v>
      </c>
      <c r="H108" s="675">
        <f>J108/C40</f>
        <v>19582.439024390245</v>
      </c>
      <c r="I108" s="674">
        <f>H108/S2</f>
        <v>178.02217294900223</v>
      </c>
      <c r="J108" s="675">
        <f>G108*D40*Personnel!O13*Personnel!N13*12</f>
        <v>1331605.8536585367</v>
      </c>
      <c r="K108" s="674">
        <f>J108/S2</f>
        <v>12105.507760532151</v>
      </c>
      <c r="L108" s="675">
        <v>2</v>
      </c>
      <c r="M108" s="674">
        <f>O108/C40</f>
        <v>41283.529411764706</v>
      </c>
      <c r="N108" s="674">
        <f>M108/S2</f>
        <v>375.30481283422461</v>
      </c>
      <c r="O108" s="674">
        <f>L108*Personnel!O27*Personnel!N27*12</f>
        <v>2807280</v>
      </c>
      <c r="P108" s="674">
        <f>O108/S2</f>
        <v>25520.727272727272</v>
      </c>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34"/>
    </row>
    <row r="109" spans="1:44" ht="15.5">
      <c r="A109" s="174" t="s">
        <v>467</v>
      </c>
      <c r="B109" s="174"/>
      <c r="C109" s="284">
        <f>SUM(C107:C108)</f>
        <v>2094.6122994652405</v>
      </c>
      <c r="D109" s="284">
        <f>SUM(D107:D108)</f>
        <v>19.041929995138553</v>
      </c>
      <c r="E109" s="677">
        <f>SUM(E107:E108)</f>
        <v>135650</v>
      </c>
      <c r="F109" s="677">
        <f>SUM(F107:F108)</f>
        <v>1233.1818181818182</v>
      </c>
      <c r="G109" s="677"/>
      <c r="H109" s="678"/>
      <c r="I109" s="678"/>
      <c r="J109" s="678"/>
      <c r="K109" s="678"/>
      <c r="L109" s="678"/>
      <c r="M109" s="678"/>
      <c r="N109" s="678"/>
      <c r="O109" s="678"/>
      <c r="P109" s="678"/>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134"/>
    </row>
    <row r="112" spans="1:44" ht="23.5">
      <c r="E112" s="679" t="s">
        <v>587</v>
      </c>
      <c r="F112" s="679"/>
      <c r="G112" s="679"/>
      <c r="H112" s="679"/>
      <c r="I112" s="679"/>
      <c r="J112" s="679"/>
    </row>
  </sheetData>
  <mergeCells count="26">
    <mergeCell ref="AD42:AE42"/>
    <mergeCell ref="Q42:R42"/>
    <mergeCell ref="C105:D105"/>
    <mergeCell ref="A12:AL12"/>
    <mergeCell ref="A4:AN4"/>
    <mergeCell ref="A13:AN13"/>
    <mergeCell ref="C22:D22"/>
    <mergeCell ref="F22:H22"/>
    <mergeCell ref="S22:T22"/>
    <mergeCell ref="U22:V22"/>
    <mergeCell ref="W22:X22"/>
    <mergeCell ref="D84:E84"/>
    <mergeCell ref="F84:H84"/>
    <mergeCell ref="I84:J84"/>
    <mergeCell ref="E105:F105"/>
    <mergeCell ref="T42:U42"/>
    <mergeCell ref="X42:Y42"/>
    <mergeCell ref="Z42:AA42"/>
    <mergeCell ref="AB42:AC42"/>
    <mergeCell ref="M42:N42"/>
    <mergeCell ref="O42:P42"/>
    <mergeCell ref="J105:K105"/>
    <mergeCell ref="H105:I105"/>
    <mergeCell ref="M105:N105"/>
    <mergeCell ref="O105:P105"/>
    <mergeCell ref="V42:W4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94"/>
  <sheetViews>
    <sheetView topLeftCell="I1" workbookViewId="0">
      <selection activeCell="O2" sqref="O2:P2"/>
    </sheetView>
  </sheetViews>
  <sheetFormatPr defaultColWidth="9.1796875" defaultRowHeight="12.5"/>
  <cols>
    <col min="1" max="1" width="67.90625" style="11" customWidth="1"/>
    <col min="2" max="2" width="21.08984375" style="11" customWidth="1"/>
    <col min="3" max="3" width="13.6328125" style="11" customWidth="1"/>
    <col min="4" max="5" width="16.26953125" style="11" customWidth="1"/>
    <col min="6" max="7" width="24.90625" style="11" customWidth="1"/>
    <col min="8" max="8" width="25.81640625" style="11" customWidth="1"/>
    <col min="9" max="10" width="23.1796875" style="33" customWidth="1"/>
    <col min="11" max="12" width="25.36328125" style="33" customWidth="1"/>
    <col min="13" max="13" width="24.1796875" style="33" customWidth="1"/>
    <col min="14" max="14" width="25.81640625" style="33" customWidth="1"/>
    <col min="15" max="15" width="21" style="33" customWidth="1"/>
    <col min="16" max="16" width="28.6328125" style="33" customWidth="1"/>
    <col min="17" max="17" width="28.1796875" style="11" customWidth="1"/>
    <col min="18" max="18" width="28.6328125" style="11" customWidth="1"/>
    <col min="19" max="16384" width="9.1796875" style="11"/>
  </cols>
  <sheetData>
    <row r="1" spans="1:19" s="8" customFormat="1" ht="15.5">
      <c r="A1" s="286" t="s">
        <v>374</v>
      </c>
      <c r="B1" s="286"/>
      <c r="C1" s="286"/>
      <c r="D1" s="286"/>
      <c r="E1" s="286"/>
      <c r="F1" s="286"/>
      <c r="G1" s="286"/>
      <c r="H1" s="287"/>
      <c r="I1" s="287"/>
      <c r="J1" s="287"/>
      <c r="K1" s="287"/>
      <c r="L1" s="287"/>
      <c r="M1" s="288" t="s">
        <v>137</v>
      </c>
      <c r="N1" s="289" t="s">
        <v>232</v>
      </c>
      <c r="O1" s="290" t="s">
        <v>32</v>
      </c>
      <c r="P1" s="290" t="s">
        <v>233</v>
      </c>
      <c r="Q1" s="291"/>
      <c r="R1" s="291"/>
    </row>
    <row r="2" spans="1:19" s="8" customFormat="1" ht="15.5">
      <c r="A2" s="286" t="s">
        <v>398</v>
      </c>
      <c r="B2" s="286"/>
      <c r="C2" s="286"/>
      <c r="D2" s="286"/>
      <c r="E2" s="286"/>
      <c r="F2" s="286"/>
      <c r="G2" s="286"/>
      <c r="H2" s="292"/>
      <c r="I2" s="287"/>
      <c r="J2" s="287"/>
      <c r="K2" s="287"/>
      <c r="L2" s="287"/>
      <c r="M2" s="293"/>
      <c r="N2" s="293"/>
      <c r="O2" s="324">
        <v>1</v>
      </c>
      <c r="P2" s="324">
        <v>110</v>
      </c>
      <c r="Q2" s="294"/>
      <c r="R2" s="294"/>
      <c r="S2" s="7"/>
    </row>
    <row r="3" spans="1:19" s="8" customFormat="1" ht="19" customHeight="1">
      <c r="A3" s="291" t="s">
        <v>399</v>
      </c>
      <c r="B3" s="158"/>
      <c r="C3" s="158"/>
      <c r="D3" s="158"/>
      <c r="E3" s="158"/>
      <c r="F3" s="291"/>
      <c r="G3" s="291"/>
      <c r="H3" s="291"/>
      <c r="I3" s="291"/>
      <c r="J3" s="291"/>
      <c r="K3" s="294"/>
      <c r="L3" s="294"/>
      <c r="M3" s="295"/>
      <c r="N3" s="296"/>
      <c r="O3" s="296"/>
      <c r="P3" s="287"/>
      <c r="Q3" s="291"/>
      <c r="R3" s="291"/>
    </row>
    <row r="4" spans="1:19" s="8" customFormat="1" ht="15" customHeight="1">
      <c r="A4" s="154" t="s">
        <v>5</v>
      </c>
      <c r="B4" s="178" t="s">
        <v>459</v>
      </c>
      <c r="C4" s="297"/>
      <c r="D4" s="297"/>
      <c r="E4" s="297"/>
      <c r="F4" s="291"/>
      <c r="G4" s="291"/>
      <c r="H4" s="291"/>
      <c r="I4" s="287"/>
      <c r="J4" s="287"/>
      <c r="K4" s="287"/>
      <c r="L4" s="287"/>
      <c r="M4" s="287"/>
      <c r="N4" s="287"/>
      <c r="O4" s="287"/>
      <c r="P4" s="287"/>
      <c r="Q4" s="291"/>
      <c r="R4" s="291"/>
    </row>
    <row r="5" spans="1:19" s="8" customFormat="1" ht="15.5">
      <c r="A5" s="291" t="s">
        <v>317</v>
      </c>
      <c r="B5" s="298">
        <v>8</v>
      </c>
      <c r="C5" s="298"/>
      <c r="D5" s="298"/>
      <c r="E5" s="298"/>
      <c r="F5" s="292"/>
      <c r="G5" s="292"/>
      <c r="H5" s="299"/>
      <c r="I5" s="299"/>
      <c r="J5" s="299"/>
      <c r="K5" s="287"/>
      <c r="L5" s="287"/>
      <c r="M5" s="287"/>
      <c r="N5" s="287"/>
      <c r="O5" s="287"/>
      <c r="P5" s="287"/>
      <c r="Q5" s="291"/>
      <c r="R5" s="291"/>
    </row>
    <row r="6" spans="1:19" s="8" customFormat="1" ht="14.15" customHeight="1">
      <c r="A6" s="291" t="s">
        <v>349</v>
      </c>
      <c r="B6" s="294" t="s">
        <v>235</v>
      </c>
      <c r="C6" s="294"/>
      <c r="D6" s="294"/>
      <c r="E6" s="294"/>
      <c r="F6" s="294"/>
      <c r="G6" s="294"/>
      <c r="H6" s="294"/>
      <c r="I6" s="300"/>
      <c r="J6" s="300"/>
      <c r="K6" s="287"/>
      <c r="L6" s="287"/>
      <c r="M6" s="287"/>
      <c r="N6" s="287"/>
      <c r="O6" s="287"/>
      <c r="P6" s="287"/>
      <c r="Q6" s="291"/>
      <c r="R6" s="291"/>
    </row>
    <row r="7" spans="1:19" s="9" customFormat="1" ht="16" customHeight="1">
      <c r="A7" s="301" t="s">
        <v>460</v>
      </c>
      <c r="B7" s="158">
        <v>228</v>
      </c>
      <c r="C7" s="294"/>
      <c r="D7" s="294"/>
      <c r="E7" s="294"/>
      <c r="F7" s="294"/>
      <c r="G7" s="294"/>
      <c r="H7" s="294"/>
      <c r="I7" s="302"/>
      <c r="J7" s="302"/>
      <c r="K7" s="302"/>
      <c r="L7" s="302"/>
      <c r="M7" s="302"/>
      <c r="N7" s="302"/>
      <c r="O7" s="302"/>
      <c r="P7" s="302"/>
      <c r="Q7" s="294"/>
      <c r="R7" s="294"/>
    </row>
    <row r="8" spans="1:19" s="9" customFormat="1" ht="14" customHeight="1">
      <c r="A8" s="160" t="s">
        <v>379</v>
      </c>
      <c r="B8" s="160" t="s">
        <v>24</v>
      </c>
      <c r="C8" s="160" t="s">
        <v>260</v>
      </c>
      <c r="D8" s="160" t="s">
        <v>249</v>
      </c>
      <c r="E8" s="160"/>
      <c r="F8" s="303" t="s">
        <v>450</v>
      </c>
      <c r="G8" s="303"/>
      <c r="H8" s="303" t="s">
        <v>451</v>
      </c>
      <c r="I8" s="160" t="s">
        <v>245</v>
      </c>
      <c r="J8" s="160"/>
      <c r="K8" s="160" t="s">
        <v>452</v>
      </c>
      <c r="L8" s="160"/>
      <c r="M8" s="160" t="s">
        <v>453</v>
      </c>
      <c r="N8" s="160" t="s">
        <v>454</v>
      </c>
      <c r="O8" s="160" t="s">
        <v>455</v>
      </c>
      <c r="P8" s="160" t="s">
        <v>456</v>
      </c>
      <c r="Q8" s="160" t="s">
        <v>457</v>
      </c>
      <c r="R8" s="160" t="s">
        <v>458</v>
      </c>
    </row>
    <row r="9" spans="1:19" s="9" customFormat="1" ht="14.5" customHeight="1">
      <c r="A9" s="174" t="s">
        <v>10</v>
      </c>
      <c r="B9" s="174"/>
      <c r="C9" s="174"/>
      <c r="D9" s="174"/>
      <c r="E9" s="174"/>
      <c r="F9" s="408"/>
      <c r="G9" s="408"/>
      <c r="H9" s="408"/>
      <c r="I9" s="174"/>
      <c r="J9" s="174"/>
      <c r="K9" s="174"/>
      <c r="L9" s="174"/>
      <c r="M9" s="174"/>
      <c r="N9" s="174"/>
      <c r="O9" s="174"/>
      <c r="P9" s="174"/>
      <c r="Q9" s="174"/>
      <c r="R9" s="174"/>
    </row>
    <row r="10" spans="1:19" s="9" customFormat="1" ht="16.5" customHeight="1">
      <c r="A10" s="178" t="s">
        <v>274</v>
      </c>
      <c r="B10" s="178" t="s">
        <v>267</v>
      </c>
      <c r="C10" s="248" t="s">
        <v>353</v>
      </c>
      <c r="D10" s="178" t="s">
        <v>410</v>
      </c>
      <c r="E10" s="178"/>
      <c r="F10" s="250">
        <v>33850</v>
      </c>
      <c r="G10" s="250"/>
      <c r="H10" s="250">
        <v>66000</v>
      </c>
      <c r="I10" s="250">
        <v>197800</v>
      </c>
      <c r="J10" s="250"/>
      <c r="K10" s="250">
        <f>SUM(F10:I10)</f>
        <v>297650</v>
      </c>
      <c r="L10" s="250"/>
      <c r="M10" s="248">
        <f>B7</f>
        <v>228</v>
      </c>
      <c r="N10" s="248">
        <f t="shared" ref="N10:N15" si="0">M10/12</f>
        <v>19</v>
      </c>
      <c r="O10" s="250">
        <f t="shared" ref="O10:O15" si="1">K10/N10</f>
        <v>15665.78947368421</v>
      </c>
      <c r="P10" s="248">
        <f t="shared" ref="P10:P15" si="2">8*60</f>
        <v>480</v>
      </c>
      <c r="Q10" s="250">
        <f t="shared" ref="Q10:Q15" si="3">O10/P10</f>
        <v>32.637061403508774</v>
      </c>
      <c r="R10" s="250">
        <f>Q10/P2</f>
        <v>0.2967005582137161</v>
      </c>
    </row>
    <row r="11" spans="1:19" s="9" customFormat="1" ht="15.5">
      <c r="A11" s="304" t="s">
        <v>273</v>
      </c>
      <c r="B11" s="304" t="s">
        <v>409</v>
      </c>
      <c r="C11" s="305" t="s">
        <v>353</v>
      </c>
      <c r="D11" s="304" t="s">
        <v>408</v>
      </c>
      <c r="E11" s="304"/>
      <c r="F11" s="250">
        <v>33850</v>
      </c>
      <c r="G11" s="250"/>
      <c r="H11" s="250">
        <v>66000</v>
      </c>
      <c r="I11" s="250">
        <v>197800</v>
      </c>
      <c r="J11" s="250"/>
      <c r="K11" s="250">
        <f>SUM(F11:I11)</f>
        <v>297650</v>
      </c>
      <c r="L11" s="250"/>
      <c r="M11" s="248">
        <f>B7</f>
        <v>228</v>
      </c>
      <c r="N11" s="248">
        <f t="shared" si="0"/>
        <v>19</v>
      </c>
      <c r="O11" s="250">
        <f t="shared" si="1"/>
        <v>15665.78947368421</v>
      </c>
      <c r="P11" s="248">
        <f t="shared" si="2"/>
        <v>480</v>
      </c>
      <c r="Q11" s="306">
        <f t="shared" si="3"/>
        <v>32.637061403508774</v>
      </c>
      <c r="R11" s="306">
        <f>Q11/P2</f>
        <v>0.2967005582137161</v>
      </c>
    </row>
    <row r="12" spans="1:19" s="9" customFormat="1" ht="15.5">
      <c r="A12" s="304" t="s">
        <v>275</v>
      </c>
      <c r="B12" s="304" t="s">
        <v>255</v>
      </c>
      <c r="C12" s="305" t="s">
        <v>401</v>
      </c>
      <c r="D12" s="304" t="s">
        <v>350</v>
      </c>
      <c r="E12" s="304"/>
      <c r="F12" s="306">
        <v>33850</v>
      </c>
      <c r="G12" s="306"/>
      <c r="H12" s="306">
        <v>66000</v>
      </c>
      <c r="I12" s="306">
        <v>169140</v>
      </c>
      <c r="J12" s="306"/>
      <c r="K12" s="306">
        <f>SUM(F12:I12)</f>
        <v>268990</v>
      </c>
      <c r="L12" s="306"/>
      <c r="M12" s="248">
        <f>B7</f>
        <v>228</v>
      </c>
      <c r="N12" s="248">
        <f t="shared" si="0"/>
        <v>19</v>
      </c>
      <c r="O12" s="250">
        <f t="shared" si="1"/>
        <v>14157.368421052632</v>
      </c>
      <c r="P12" s="248">
        <f t="shared" si="2"/>
        <v>480</v>
      </c>
      <c r="Q12" s="306">
        <f t="shared" si="3"/>
        <v>29.494517543859651</v>
      </c>
      <c r="R12" s="306">
        <f>Q12/P2</f>
        <v>0.26813197767145136</v>
      </c>
    </row>
    <row r="13" spans="1:19" s="9" customFormat="1" ht="15.5">
      <c r="A13" s="304" t="s">
        <v>354</v>
      </c>
      <c r="B13" s="304" t="s">
        <v>279</v>
      </c>
      <c r="C13" s="305" t="s">
        <v>402</v>
      </c>
      <c r="D13" s="304" t="s">
        <v>250</v>
      </c>
      <c r="E13" s="304"/>
      <c r="F13" s="306">
        <v>23850</v>
      </c>
      <c r="G13" s="306"/>
      <c r="H13" s="306">
        <v>43000</v>
      </c>
      <c r="I13" s="306">
        <v>133870</v>
      </c>
      <c r="J13" s="306"/>
      <c r="K13" s="306">
        <f>SUM(F13:I13)</f>
        <v>200720</v>
      </c>
      <c r="L13" s="306"/>
      <c r="M13" s="248">
        <f>B7</f>
        <v>228</v>
      </c>
      <c r="N13" s="248">
        <f t="shared" si="0"/>
        <v>19</v>
      </c>
      <c r="O13" s="250">
        <f t="shared" si="1"/>
        <v>10564.21052631579</v>
      </c>
      <c r="P13" s="248">
        <f t="shared" si="2"/>
        <v>480</v>
      </c>
      <c r="Q13" s="306">
        <f t="shared" si="3"/>
        <v>22.008771929824562</v>
      </c>
      <c r="R13" s="306">
        <f>Q13/P2</f>
        <v>0.20007974481658691</v>
      </c>
    </row>
    <row r="14" spans="1:19" s="9" customFormat="1" ht="31">
      <c r="A14" s="304" t="s">
        <v>461</v>
      </c>
      <c r="B14" s="304" t="s">
        <v>280</v>
      </c>
      <c r="C14" s="305" t="s">
        <v>403</v>
      </c>
      <c r="D14" s="304" t="s">
        <v>281</v>
      </c>
      <c r="E14" s="304"/>
      <c r="F14" s="307">
        <v>23850</v>
      </c>
      <c r="G14" s="307"/>
      <c r="H14" s="307">
        <v>43000</v>
      </c>
      <c r="I14" s="307">
        <v>65120</v>
      </c>
      <c r="J14" s="307"/>
      <c r="K14" s="306">
        <f t="shared" ref="K14:K20" si="4">SUM(F14:I14)</f>
        <v>131970</v>
      </c>
      <c r="L14" s="306"/>
      <c r="M14" s="248">
        <f>B7</f>
        <v>228</v>
      </c>
      <c r="N14" s="248">
        <f t="shared" si="0"/>
        <v>19</v>
      </c>
      <c r="O14" s="250">
        <f t="shared" si="1"/>
        <v>6945.7894736842109</v>
      </c>
      <c r="P14" s="248">
        <f t="shared" si="2"/>
        <v>480</v>
      </c>
      <c r="Q14" s="306">
        <f t="shared" si="3"/>
        <v>14.470394736842106</v>
      </c>
      <c r="R14" s="306">
        <f>Q14/P2</f>
        <v>0.13154904306220097</v>
      </c>
    </row>
    <row r="15" spans="1:19" s="9" customFormat="1" ht="17.5" customHeight="1">
      <c r="A15" s="154" t="s">
        <v>276</v>
      </c>
      <c r="B15" s="178" t="s">
        <v>13</v>
      </c>
      <c r="C15" s="248" t="s">
        <v>404</v>
      </c>
      <c r="D15" s="308" t="s">
        <v>250</v>
      </c>
      <c r="E15" s="308"/>
      <c r="F15" s="309">
        <v>33850</v>
      </c>
      <c r="G15" s="309"/>
      <c r="H15" s="309">
        <v>43000</v>
      </c>
      <c r="I15" s="310">
        <v>87360</v>
      </c>
      <c r="J15" s="310"/>
      <c r="K15" s="250">
        <f t="shared" si="4"/>
        <v>164210</v>
      </c>
      <c r="L15" s="250"/>
      <c r="M15" s="248">
        <f>B7</f>
        <v>228</v>
      </c>
      <c r="N15" s="248">
        <f t="shared" si="0"/>
        <v>19</v>
      </c>
      <c r="O15" s="250">
        <f t="shared" si="1"/>
        <v>8642.6315789473683</v>
      </c>
      <c r="P15" s="248">
        <f t="shared" si="2"/>
        <v>480</v>
      </c>
      <c r="Q15" s="250">
        <f t="shared" si="3"/>
        <v>18.005482456140349</v>
      </c>
      <c r="R15" s="250">
        <f>Q15/P2</f>
        <v>0.16368620414673044</v>
      </c>
    </row>
    <row r="16" spans="1:19" s="9" customFormat="1" ht="15" customHeight="1">
      <c r="A16" s="154" t="s">
        <v>172</v>
      </c>
      <c r="B16" s="178" t="s">
        <v>17</v>
      </c>
      <c r="C16" s="248" t="s">
        <v>352</v>
      </c>
      <c r="D16" s="308" t="s">
        <v>250</v>
      </c>
      <c r="E16" s="308"/>
      <c r="F16" s="309">
        <v>23850</v>
      </c>
      <c r="G16" s="309"/>
      <c r="H16" s="309">
        <v>34000</v>
      </c>
      <c r="I16" s="310">
        <v>59120</v>
      </c>
      <c r="J16" s="310"/>
      <c r="K16" s="250">
        <f t="shared" si="4"/>
        <v>116970</v>
      </c>
      <c r="L16" s="250"/>
      <c r="M16" s="248">
        <f>B7</f>
        <v>228</v>
      </c>
      <c r="N16" s="248">
        <f t="shared" ref="N16:N21" si="5">M16/12</f>
        <v>19</v>
      </c>
      <c r="O16" s="250">
        <f t="shared" ref="O16:O21" si="6">K16/N16</f>
        <v>6156.3157894736842</v>
      </c>
      <c r="P16" s="248">
        <f t="shared" ref="P16:P21" si="7">8*60</f>
        <v>480</v>
      </c>
      <c r="Q16" s="250">
        <f t="shared" ref="Q16:Q21" si="8">O16/P16</f>
        <v>12.825657894736842</v>
      </c>
      <c r="R16" s="250">
        <f>Q16/P2</f>
        <v>0.11659688995215312</v>
      </c>
    </row>
    <row r="17" spans="1:18" s="9" customFormat="1" ht="15.5">
      <c r="A17" s="154" t="s">
        <v>174</v>
      </c>
      <c r="B17" s="178" t="s">
        <v>17</v>
      </c>
      <c r="C17" s="248" t="s">
        <v>352</v>
      </c>
      <c r="D17" s="311" t="s">
        <v>250</v>
      </c>
      <c r="E17" s="311"/>
      <c r="F17" s="312">
        <v>23850</v>
      </c>
      <c r="G17" s="312"/>
      <c r="H17" s="312">
        <v>34000</v>
      </c>
      <c r="I17" s="313">
        <v>59120</v>
      </c>
      <c r="J17" s="313"/>
      <c r="K17" s="306">
        <f t="shared" si="4"/>
        <v>116970</v>
      </c>
      <c r="L17" s="306"/>
      <c r="M17" s="248">
        <f>B7</f>
        <v>228</v>
      </c>
      <c r="N17" s="248">
        <f t="shared" si="5"/>
        <v>19</v>
      </c>
      <c r="O17" s="250">
        <f t="shared" si="6"/>
        <v>6156.3157894736842</v>
      </c>
      <c r="P17" s="248">
        <f t="shared" si="7"/>
        <v>480</v>
      </c>
      <c r="Q17" s="306">
        <f t="shared" si="8"/>
        <v>12.825657894736842</v>
      </c>
      <c r="R17" s="306">
        <f>Q17/P2</f>
        <v>0.11659688995215312</v>
      </c>
    </row>
    <row r="18" spans="1:18" s="9" customFormat="1" ht="15.5">
      <c r="A18" s="154" t="s">
        <v>173</v>
      </c>
      <c r="B18" s="178" t="s">
        <v>17</v>
      </c>
      <c r="C18" s="248" t="s">
        <v>352</v>
      </c>
      <c r="D18" s="311" t="s">
        <v>250</v>
      </c>
      <c r="E18" s="311"/>
      <c r="F18" s="312">
        <v>23850</v>
      </c>
      <c r="G18" s="312"/>
      <c r="H18" s="312">
        <v>34000</v>
      </c>
      <c r="I18" s="313">
        <v>59120</v>
      </c>
      <c r="J18" s="313"/>
      <c r="K18" s="306">
        <f t="shared" si="4"/>
        <v>116970</v>
      </c>
      <c r="L18" s="306"/>
      <c r="M18" s="248">
        <f>B7</f>
        <v>228</v>
      </c>
      <c r="N18" s="248">
        <f t="shared" si="5"/>
        <v>19</v>
      </c>
      <c r="O18" s="250">
        <f t="shared" si="6"/>
        <v>6156.3157894736842</v>
      </c>
      <c r="P18" s="248">
        <f t="shared" si="7"/>
        <v>480</v>
      </c>
      <c r="Q18" s="306">
        <f t="shared" si="8"/>
        <v>12.825657894736842</v>
      </c>
      <c r="R18" s="306">
        <f>Q18/P2</f>
        <v>0.11659688995215312</v>
      </c>
    </row>
    <row r="19" spans="1:18" s="9" customFormat="1" ht="15.5">
      <c r="A19" s="154" t="s">
        <v>177</v>
      </c>
      <c r="B19" s="178" t="s">
        <v>17</v>
      </c>
      <c r="C19" s="248" t="s">
        <v>352</v>
      </c>
      <c r="D19" s="311" t="s">
        <v>250</v>
      </c>
      <c r="E19" s="311"/>
      <c r="F19" s="312">
        <v>23850</v>
      </c>
      <c r="G19" s="312"/>
      <c r="H19" s="312">
        <v>34000</v>
      </c>
      <c r="I19" s="313">
        <v>59120</v>
      </c>
      <c r="J19" s="313"/>
      <c r="K19" s="306">
        <f t="shared" si="4"/>
        <v>116970</v>
      </c>
      <c r="L19" s="306"/>
      <c r="M19" s="248">
        <f>B7</f>
        <v>228</v>
      </c>
      <c r="N19" s="248">
        <f t="shared" si="5"/>
        <v>19</v>
      </c>
      <c r="O19" s="250">
        <f t="shared" si="6"/>
        <v>6156.3157894736842</v>
      </c>
      <c r="P19" s="248">
        <f t="shared" si="7"/>
        <v>480</v>
      </c>
      <c r="Q19" s="306">
        <f t="shared" si="8"/>
        <v>12.825657894736842</v>
      </c>
      <c r="R19" s="306">
        <f>Q19/P2</f>
        <v>0.11659688995215312</v>
      </c>
    </row>
    <row r="20" spans="1:18" s="9" customFormat="1" ht="15.5">
      <c r="A20" s="154" t="s">
        <v>176</v>
      </c>
      <c r="B20" s="178" t="s">
        <v>17</v>
      </c>
      <c r="C20" s="248" t="s">
        <v>352</v>
      </c>
      <c r="D20" s="311" t="s">
        <v>250</v>
      </c>
      <c r="E20" s="311"/>
      <c r="F20" s="312">
        <v>23850</v>
      </c>
      <c r="G20" s="312"/>
      <c r="H20" s="312">
        <v>34000</v>
      </c>
      <c r="I20" s="313">
        <v>59120</v>
      </c>
      <c r="J20" s="313"/>
      <c r="K20" s="306">
        <f t="shared" si="4"/>
        <v>116970</v>
      </c>
      <c r="L20" s="306"/>
      <c r="M20" s="248">
        <f>B7</f>
        <v>228</v>
      </c>
      <c r="N20" s="248">
        <f t="shared" si="5"/>
        <v>19</v>
      </c>
      <c r="O20" s="250">
        <f t="shared" si="6"/>
        <v>6156.3157894736842</v>
      </c>
      <c r="P20" s="248">
        <f t="shared" si="7"/>
        <v>480</v>
      </c>
      <c r="Q20" s="306">
        <f t="shared" si="8"/>
        <v>12.825657894736842</v>
      </c>
      <c r="R20" s="306">
        <f>Q20/P2</f>
        <v>0.11659688995215312</v>
      </c>
    </row>
    <row r="21" spans="1:18" s="9" customFormat="1" ht="15.5">
      <c r="A21" s="154" t="s">
        <v>407</v>
      </c>
      <c r="B21" s="178" t="s">
        <v>407</v>
      </c>
      <c r="C21" s="248" t="s">
        <v>352</v>
      </c>
      <c r="D21" s="314" t="s">
        <v>408</v>
      </c>
      <c r="E21" s="314"/>
      <c r="F21" s="312">
        <v>23850</v>
      </c>
      <c r="G21" s="312"/>
      <c r="H21" s="312">
        <v>34000</v>
      </c>
      <c r="I21" s="313">
        <v>59120</v>
      </c>
      <c r="J21" s="313"/>
      <c r="K21" s="250">
        <f>SUM(F21:I21)</f>
        <v>116970</v>
      </c>
      <c r="L21" s="250"/>
      <c r="M21" s="248">
        <f>B7</f>
        <v>228</v>
      </c>
      <c r="N21" s="248">
        <f t="shared" si="5"/>
        <v>19</v>
      </c>
      <c r="O21" s="251">
        <f t="shared" si="6"/>
        <v>6156.3157894736842</v>
      </c>
      <c r="P21" s="248">
        <f t="shared" si="7"/>
        <v>480</v>
      </c>
      <c r="Q21" s="250">
        <f t="shared" si="8"/>
        <v>12.825657894736842</v>
      </c>
      <c r="R21" s="250">
        <f>Q21/P2</f>
        <v>0.11659688995215312</v>
      </c>
    </row>
    <row r="22" spans="1:18" s="9" customFormat="1" ht="17.5" customHeight="1">
      <c r="A22" s="178" t="s">
        <v>12</v>
      </c>
      <c r="B22" s="178" t="s">
        <v>12</v>
      </c>
      <c r="C22" s="248" t="s">
        <v>405</v>
      </c>
      <c r="D22" s="178" t="s">
        <v>406</v>
      </c>
      <c r="E22" s="178"/>
      <c r="F22" s="315">
        <v>0</v>
      </c>
      <c r="G22" s="315"/>
      <c r="H22" s="316">
        <v>0</v>
      </c>
      <c r="I22" s="249">
        <v>20800</v>
      </c>
      <c r="J22" s="249"/>
      <c r="K22" s="250">
        <f>SUM(F22:I22)</f>
        <v>20800</v>
      </c>
      <c r="L22" s="250"/>
      <c r="M22" s="248">
        <f>B7</f>
        <v>228</v>
      </c>
      <c r="N22" s="248">
        <f>M22/12</f>
        <v>19</v>
      </c>
      <c r="O22" s="250">
        <f>K22/N22</f>
        <v>1094.7368421052631</v>
      </c>
      <c r="P22" s="248">
        <f>8*60</f>
        <v>480</v>
      </c>
      <c r="Q22" s="250">
        <f>O22/P22</f>
        <v>2.2807017543859649</v>
      </c>
      <c r="R22" s="250">
        <f>Q22/P2</f>
        <v>2.0733652312599681E-2</v>
      </c>
    </row>
    <row r="23" spans="1:18" s="9" customFormat="1" ht="15.5">
      <c r="A23" s="409" t="s">
        <v>307</v>
      </c>
      <c r="B23" s="410"/>
      <c r="C23" s="410"/>
      <c r="D23" s="410"/>
      <c r="E23" s="410"/>
      <c r="F23" s="411"/>
      <c r="G23" s="411"/>
      <c r="H23" s="412"/>
      <c r="I23" s="413"/>
      <c r="J23" s="413"/>
      <c r="K23" s="414"/>
      <c r="L23" s="414"/>
      <c r="M23" s="415"/>
      <c r="N23" s="415"/>
      <c r="O23" s="416"/>
      <c r="P23" s="415"/>
      <c r="Q23" s="417"/>
      <c r="R23" s="418"/>
    </row>
    <row r="24" spans="1:18" s="9" customFormat="1" ht="15.5">
      <c r="A24" s="304" t="s">
        <v>461</v>
      </c>
      <c r="B24" s="178" t="s">
        <v>280</v>
      </c>
      <c r="C24" s="305" t="s">
        <v>403</v>
      </c>
      <c r="D24" s="311" t="s">
        <v>250</v>
      </c>
      <c r="E24" s="311"/>
      <c r="F24" s="307">
        <v>23850</v>
      </c>
      <c r="G24" s="307"/>
      <c r="H24" s="307">
        <v>43000</v>
      </c>
      <c r="I24" s="307">
        <v>65120</v>
      </c>
      <c r="J24" s="307"/>
      <c r="K24" s="306">
        <f t="shared" ref="K24:K29" si="9">SUM(F24:I24)</f>
        <v>131970</v>
      </c>
      <c r="L24" s="306"/>
      <c r="M24" s="248">
        <f>B7</f>
        <v>228</v>
      </c>
      <c r="N24" s="248">
        <f t="shared" ref="N24:N29" si="10">M24/12</f>
        <v>19</v>
      </c>
      <c r="O24" s="250">
        <f t="shared" ref="O24:O29" si="11">K24/N24</f>
        <v>6945.7894736842109</v>
      </c>
      <c r="P24" s="248">
        <f t="shared" ref="P24:P29" si="12">8*60</f>
        <v>480</v>
      </c>
      <c r="Q24" s="306">
        <f t="shared" ref="Q24:Q29" si="13">O24/P24</f>
        <v>14.470394736842106</v>
      </c>
      <c r="R24" s="306">
        <f>Q24/P2</f>
        <v>0.13154904306220097</v>
      </c>
    </row>
    <row r="25" spans="1:18" s="9" customFormat="1" ht="15.5">
      <c r="A25" s="154" t="s">
        <v>175</v>
      </c>
      <c r="B25" s="178" t="s">
        <v>17</v>
      </c>
      <c r="C25" s="248" t="s">
        <v>351</v>
      </c>
      <c r="D25" s="311" t="s">
        <v>250</v>
      </c>
      <c r="E25" s="311"/>
      <c r="F25" s="317">
        <f t="shared" ref="F25:I28" si="14">F16</f>
        <v>23850</v>
      </c>
      <c r="G25" s="317"/>
      <c r="H25" s="317">
        <f t="shared" si="14"/>
        <v>34000</v>
      </c>
      <c r="I25" s="318">
        <f t="shared" si="14"/>
        <v>59120</v>
      </c>
      <c r="J25" s="318"/>
      <c r="K25" s="306">
        <f t="shared" si="9"/>
        <v>116970</v>
      </c>
      <c r="L25" s="306"/>
      <c r="M25" s="248">
        <f>B7</f>
        <v>228</v>
      </c>
      <c r="N25" s="248">
        <f t="shared" si="10"/>
        <v>19</v>
      </c>
      <c r="O25" s="250">
        <f t="shared" si="11"/>
        <v>6156.3157894736842</v>
      </c>
      <c r="P25" s="248">
        <f t="shared" si="12"/>
        <v>480</v>
      </c>
      <c r="Q25" s="306">
        <f t="shared" si="13"/>
        <v>12.825657894736842</v>
      </c>
      <c r="R25" s="306">
        <f>Q25/P2</f>
        <v>0.11659688995215312</v>
      </c>
    </row>
    <row r="26" spans="1:18" s="9" customFormat="1" ht="15.5">
      <c r="A26" s="154" t="s">
        <v>178</v>
      </c>
      <c r="B26" s="178" t="s">
        <v>17</v>
      </c>
      <c r="C26" s="248" t="s">
        <v>351</v>
      </c>
      <c r="D26" s="311" t="s">
        <v>250</v>
      </c>
      <c r="E26" s="311"/>
      <c r="F26" s="317">
        <f t="shared" si="14"/>
        <v>23850</v>
      </c>
      <c r="G26" s="317"/>
      <c r="H26" s="317">
        <f t="shared" si="14"/>
        <v>34000</v>
      </c>
      <c r="I26" s="318">
        <f t="shared" si="14"/>
        <v>59120</v>
      </c>
      <c r="J26" s="318"/>
      <c r="K26" s="306">
        <f t="shared" si="9"/>
        <v>116970</v>
      </c>
      <c r="L26" s="306"/>
      <c r="M26" s="248">
        <f>B7</f>
        <v>228</v>
      </c>
      <c r="N26" s="248">
        <f t="shared" si="10"/>
        <v>19</v>
      </c>
      <c r="O26" s="250">
        <f t="shared" si="11"/>
        <v>6156.3157894736842</v>
      </c>
      <c r="P26" s="248">
        <f t="shared" si="12"/>
        <v>480</v>
      </c>
      <c r="Q26" s="306">
        <f t="shared" si="13"/>
        <v>12.825657894736842</v>
      </c>
      <c r="R26" s="306">
        <f>Q26/P2</f>
        <v>0.11659688995215312</v>
      </c>
    </row>
    <row r="27" spans="1:18" s="9" customFormat="1" ht="15.5">
      <c r="A27" s="154" t="s">
        <v>179</v>
      </c>
      <c r="B27" s="178" t="s">
        <v>14</v>
      </c>
      <c r="C27" s="248" t="s">
        <v>351</v>
      </c>
      <c r="D27" s="308" t="s">
        <v>250</v>
      </c>
      <c r="E27" s="308"/>
      <c r="F27" s="249">
        <f t="shared" si="14"/>
        <v>23850</v>
      </c>
      <c r="G27" s="249"/>
      <c r="H27" s="249">
        <f t="shared" si="14"/>
        <v>34000</v>
      </c>
      <c r="I27" s="181">
        <f t="shared" si="14"/>
        <v>59120</v>
      </c>
      <c r="J27" s="181"/>
      <c r="K27" s="250">
        <f t="shared" si="9"/>
        <v>116970</v>
      </c>
      <c r="L27" s="250"/>
      <c r="M27" s="248">
        <f>B7</f>
        <v>228</v>
      </c>
      <c r="N27" s="248">
        <f t="shared" si="10"/>
        <v>19</v>
      </c>
      <c r="O27" s="250">
        <f t="shared" si="11"/>
        <v>6156.3157894736842</v>
      </c>
      <c r="P27" s="248">
        <f t="shared" si="12"/>
        <v>480</v>
      </c>
      <c r="Q27" s="250">
        <f t="shared" si="13"/>
        <v>12.825657894736842</v>
      </c>
      <c r="R27" s="250">
        <f>Q27/P2</f>
        <v>0.11659688995215312</v>
      </c>
    </row>
    <row r="28" spans="1:18" s="9" customFormat="1" ht="15.5">
      <c r="A28" s="154" t="s">
        <v>180</v>
      </c>
      <c r="B28" s="178" t="s">
        <v>14</v>
      </c>
      <c r="C28" s="248" t="s">
        <v>351</v>
      </c>
      <c r="D28" s="311" t="s">
        <v>250</v>
      </c>
      <c r="E28" s="311"/>
      <c r="F28" s="317">
        <f t="shared" si="14"/>
        <v>23850</v>
      </c>
      <c r="G28" s="317"/>
      <c r="H28" s="317">
        <f t="shared" si="14"/>
        <v>34000</v>
      </c>
      <c r="I28" s="318">
        <f t="shared" si="14"/>
        <v>59120</v>
      </c>
      <c r="J28" s="318"/>
      <c r="K28" s="306">
        <f t="shared" si="9"/>
        <v>116970</v>
      </c>
      <c r="L28" s="306"/>
      <c r="M28" s="248">
        <f>B7</f>
        <v>228</v>
      </c>
      <c r="N28" s="248">
        <f t="shared" si="10"/>
        <v>19</v>
      </c>
      <c r="O28" s="250">
        <f t="shared" si="11"/>
        <v>6156.3157894736842</v>
      </c>
      <c r="P28" s="248">
        <f t="shared" si="12"/>
        <v>480</v>
      </c>
      <c r="Q28" s="306">
        <f t="shared" si="13"/>
        <v>12.825657894736842</v>
      </c>
      <c r="R28" s="306">
        <f>Q28/P2</f>
        <v>0.11659688995215312</v>
      </c>
    </row>
    <row r="29" spans="1:18" s="9" customFormat="1" ht="15.5" customHeight="1">
      <c r="A29" s="178" t="s">
        <v>407</v>
      </c>
      <c r="B29" s="319" t="s">
        <v>407</v>
      </c>
      <c r="C29" s="320" t="s">
        <v>351</v>
      </c>
      <c r="D29" s="319" t="s">
        <v>411</v>
      </c>
      <c r="E29" s="319"/>
      <c r="F29" s="249">
        <f>F25</f>
        <v>23850</v>
      </c>
      <c r="G29" s="249"/>
      <c r="H29" s="249">
        <f>H25</f>
        <v>34000</v>
      </c>
      <c r="I29" s="181">
        <f>I16</f>
        <v>59120</v>
      </c>
      <c r="J29" s="181"/>
      <c r="K29" s="248">
        <f t="shared" si="9"/>
        <v>116970</v>
      </c>
      <c r="L29" s="248"/>
      <c r="M29" s="248">
        <f>B7</f>
        <v>228</v>
      </c>
      <c r="N29" s="248">
        <f t="shared" si="10"/>
        <v>19</v>
      </c>
      <c r="O29" s="250">
        <f t="shared" si="11"/>
        <v>6156.3157894736842</v>
      </c>
      <c r="P29" s="248">
        <f t="shared" si="12"/>
        <v>480</v>
      </c>
      <c r="Q29" s="250">
        <f t="shared" si="13"/>
        <v>12.825657894736842</v>
      </c>
      <c r="R29" s="250">
        <f>Q29/P2</f>
        <v>0.11659688995215312</v>
      </c>
    </row>
    <row r="30" spans="1:18" s="9" customFormat="1" ht="15.5" customHeight="1">
      <c r="A30" s="178" t="s">
        <v>12</v>
      </c>
      <c r="B30" s="178" t="s">
        <v>12</v>
      </c>
      <c r="C30" s="248" t="s">
        <v>405</v>
      </c>
      <c r="D30" s="178" t="s">
        <v>406</v>
      </c>
      <c r="E30" s="178"/>
      <c r="F30" s="315">
        <v>0</v>
      </c>
      <c r="G30" s="315"/>
      <c r="H30" s="316">
        <v>0</v>
      </c>
      <c r="I30" s="249">
        <v>20800</v>
      </c>
      <c r="J30" s="249"/>
      <c r="K30" s="250">
        <f>SUM(F30:I30)</f>
        <v>20800</v>
      </c>
      <c r="L30" s="250"/>
      <c r="M30" s="248">
        <f>B7</f>
        <v>228</v>
      </c>
      <c r="N30" s="248">
        <f>M30/12</f>
        <v>19</v>
      </c>
      <c r="O30" s="250">
        <f>K30/N30</f>
        <v>1094.7368421052631</v>
      </c>
      <c r="P30" s="248">
        <f>8*60</f>
        <v>480</v>
      </c>
      <c r="Q30" s="250">
        <f>O30/P30</f>
        <v>2.2807017543859649</v>
      </c>
      <c r="R30" s="250">
        <f>Q30/P2</f>
        <v>2.0733652312599681E-2</v>
      </c>
    </row>
    <row r="31" spans="1:18" ht="15" customHeight="1">
      <c r="A31" s="321" t="s">
        <v>390</v>
      </c>
      <c r="B31" s="321" t="s">
        <v>10</v>
      </c>
      <c r="C31" s="321" t="s">
        <v>19</v>
      </c>
      <c r="D31" s="321" t="s">
        <v>20</v>
      </c>
      <c r="E31" s="598"/>
      <c r="F31" s="792" t="s">
        <v>377</v>
      </c>
      <c r="G31" s="793"/>
      <c r="H31" s="793"/>
      <c r="I31" s="794"/>
      <c r="J31" s="600"/>
      <c r="K31" s="322"/>
      <c r="L31" s="322"/>
      <c r="M31" s="323"/>
      <c r="N31" s="323"/>
      <c r="O31" s="323"/>
      <c r="P31" s="323"/>
      <c r="Q31" s="322"/>
      <c r="R31" s="322"/>
    </row>
    <row r="32" spans="1:18" ht="15.5">
      <c r="A32" s="321" t="s">
        <v>422</v>
      </c>
      <c r="B32" s="795" t="s">
        <v>23</v>
      </c>
      <c r="C32" s="796"/>
      <c r="D32" s="797"/>
      <c r="E32" s="594"/>
      <c r="F32" s="321" t="s">
        <v>522</v>
      </c>
      <c r="G32" s="321"/>
      <c r="H32" s="321" t="s">
        <v>23</v>
      </c>
      <c r="I32" s="401" t="s">
        <v>382</v>
      </c>
      <c r="J32" s="401"/>
      <c r="K32" s="322"/>
      <c r="L32" s="322"/>
      <c r="M32" s="323"/>
      <c r="N32" s="323"/>
      <c r="O32" s="323"/>
      <c r="P32" s="323"/>
      <c r="Q32" s="322"/>
      <c r="R32" s="322"/>
    </row>
    <row r="33" spans="1:18" ht="15.5">
      <c r="A33" s="294" t="s">
        <v>280</v>
      </c>
      <c r="B33" s="294">
        <v>3</v>
      </c>
      <c r="C33" s="294">
        <v>3</v>
      </c>
      <c r="D33" s="294">
        <f>SUM(B33:C33)</f>
        <v>6</v>
      </c>
      <c r="E33" s="294"/>
      <c r="F33" s="294" t="s">
        <v>10</v>
      </c>
      <c r="G33" s="294"/>
      <c r="H33" s="294">
        <f>'T and M Personnel'!C34</f>
        <v>55</v>
      </c>
      <c r="I33" s="325">
        <f>'T and M Personnel'!D34</f>
        <v>0.44715447154471544</v>
      </c>
      <c r="J33" s="325"/>
      <c r="K33" s="294"/>
      <c r="L33" s="294"/>
      <c r="M33" s="302"/>
      <c r="N33" s="302"/>
      <c r="O33" s="302"/>
      <c r="P33" s="302"/>
      <c r="Q33" s="294"/>
      <c r="R33" s="294"/>
    </row>
    <row r="34" spans="1:18" ht="15.5">
      <c r="A34" s="294" t="s">
        <v>17</v>
      </c>
      <c r="B34" s="294">
        <v>5</v>
      </c>
      <c r="C34" s="294">
        <v>2</v>
      </c>
      <c r="D34" s="294">
        <f>SUM(B34:C34)</f>
        <v>7</v>
      </c>
      <c r="E34" s="294"/>
      <c r="F34" s="294" t="s">
        <v>19</v>
      </c>
      <c r="G34" s="294"/>
      <c r="H34" s="294">
        <f>'T and M Personnel'!C40</f>
        <v>68</v>
      </c>
      <c r="I34" s="325">
        <f>'T and M Personnel'!D40</f>
        <v>0.55284552845528456</v>
      </c>
      <c r="J34" s="325"/>
      <c r="K34" s="294"/>
      <c r="L34" s="294"/>
      <c r="M34" s="302"/>
      <c r="N34" s="302"/>
      <c r="O34" s="302"/>
      <c r="P34" s="302"/>
      <c r="Q34" s="294"/>
      <c r="R34" s="294"/>
    </row>
    <row r="35" spans="1:18" ht="15.5">
      <c r="A35" s="294" t="s">
        <v>14</v>
      </c>
      <c r="B35" s="294">
        <v>0</v>
      </c>
      <c r="C35" s="294">
        <v>2</v>
      </c>
      <c r="D35" s="294">
        <f>SUM(B35:C35)</f>
        <v>2</v>
      </c>
      <c r="E35" s="294"/>
      <c r="F35" s="326" t="s">
        <v>20</v>
      </c>
      <c r="G35" s="326"/>
      <c r="H35" s="327">
        <f>SUM(H33:H34)</f>
        <v>123</v>
      </c>
      <c r="I35" s="327">
        <f>SUM(I33:I34)</f>
        <v>1</v>
      </c>
      <c r="J35" s="327"/>
      <c r="K35" s="294"/>
      <c r="L35" s="294"/>
      <c r="M35" s="302"/>
      <c r="N35" s="302"/>
      <c r="O35" s="302"/>
      <c r="P35" s="302"/>
      <c r="Q35" s="294"/>
      <c r="R35" s="294"/>
    </row>
    <row r="36" spans="1:18" ht="15.5">
      <c r="A36" s="294" t="s">
        <v>254</v>
      </c>
      <c r="B36" s="294">
        <v>14</v>
      </c>
      <c r="C36" s="294">
        <v>9</v>
      </c>
      <c r="D36" s="294">
        <f>SUM(B36:C36)</f>
        <v>23</v>
      </c>
      <c r="E36" s="294"/>
      <c r="F36" s="294"/>
      <c r="G36" s="294"/>
      <c r="H36" s="294"/>
      <c r="I36" s="302"/>
      <c r="J36" s="302"/>
      <c r="K36" s="294"/>
      <c r="L36" s="294"/>
      <c r="M36" s="302"/>
      <c r="N36" s="302"/>
      <c r="O36" s="302"/>
      <c r="P36" s="302"/>
      <c r="Q36" s="294"/>
      <c r="R36" s="294"/>
    </row>
    <row r="37" spans="1:18" ht="15.5">
      <c r="A37" s="328" t="s">
        <v>20</v>
      </c>
      <c r="B37" s="327">
        <f>SUM(B33:B36)</f>
        <v>22</v>
      </c>
      <c r="C37" s="327">
        <f>SUM(C33:C36)</f>
        <v>16</v>
      </c>
      <c r="D37" s="327">
        <f>SUM(D33:D36)</f>
        <v>38</v>
      </c>
      <c r="E37" s="327"/>
      <c r="F37" s="328"/>
      <c r="G37" s="328"/>
      <c r="H37" s="328"/>
      <c r="I37" s="329"/>
      <c r="J37" s="329"/>
      <c r="K37" s="329"/>
      <c r="L37" s="329"/>
      <c r="M37" s="329"/>
      <c r="N37" s="329"/>
      <c r="O37" s="329"/>
      <c r="P37" s="329"/>
      <c r="Q37" s="328"/>
      <c r="R37" s="328"/>
    </row>
    <row r="38" spans="1:18" ht="15.5">
      <c r="A38" s="328" t="s">
        <v>553</v>
      </c>
      <c r="B38" s="769" t="s">
        <v>551</v>
      </c>
      <c r="C38" s="770"/>
      <c r="D38" s="769" t="s">
        <v>10</v>
      </c>
      <c r="E38" s="770"/>
      <c r="F38" s="769" t="s">
        <v>19</v>
      </c>
      <c r="G38" s="770"/>
      <c r="H38" s="327" t="s">
        <v>552</v>
      </c>
      <c r="I38" s="599" t="s">
        <v>10</v>
      </c>
      <c r="J38" s="599"/>
      <c r="K38" s="599" t="s">
        <v>19</v>
      </c>
      <c r="L38" s="599"/>
      <c r="M38" s="329"/>
      <c r="N38" s="329"/>
      <c r="O38" s="329"/>
      <c r="P38" s="329"/>
      <c r="Q38" s="328"/>
      <c r="R38" s="328"/>
    </row>
    <row r="39" spans="1:18" ht="15.5">
      <c r="A39" s="328"/>
      <c r="B39" s="596"/>
      <c r="C39" s="597"/>
      <c r="D39" s="327" t="s">
        <v>233</v>
      </c>
      <c r="E39" s="327" t="s">
        <v>32</v>
      </c>
      <c r="F39" s="327" t="s">
        <v>233</v>
      </c>
      <c r="G39" s="327" t="s">
        <v>32</v>
      </c>
      <c r="H39" s="328"/>
      <c r="I39" s="599" t="s">
        <v>233</v>
      </c>
      <c r="J39" s="599" t="s">
        <v>32</v>
      </c>
      <c r="K39" s="599" t="s">
        <v>233</v>
      </c>
      <c r="L39" s="599" t="s">
        <v>32</v>
      </c>
      <c r="M39" s="329"/>
      <c r="N39" s="329"/>
      <c r="O39" s="329"/>
      <c r="P39" s="329"/>
      <c r="Q39" s="328"/>
      <c r="R39" s="328"/>
    </row>
    <row r="40" spans="1:18" ht="15.5">
      <c r="A40" s="328" t="s">
        <v>550</v>
      </c>
      <c r="B40" s="327">
        <v>1</v>
      </c>
      <c r="C40" s="327"/>
      <c r="D40" s="327"/>
      <c r="E40" s="327"/>
      <c r="F40" s="328"/>
      <c r="G40" s="328"/>
      <c r="H40" s="328"/>
      <c r="I40" s="329"/>
      <c r="J40" s="329"/>
      <c r="K40" s="329"/>
      <c r="L40" s="329"/>
      <c r="M40" s="329"/>
      <c r="N40" s="329"/>
      <c r="O40" s="329"/>
      <c r="P40" s="329"/>
      <c r="Q40" s="328"/>
      <c r="R40" s="328"/>
    </row>
    <row r="41" spans="1:18" ht="15.5">
      <c r="A41" s="328" t="s">
        <v>14</v>
      </c>
      <c r="B41" s="327"/>
      <c r="C41" s="327">
        <v>2</v>
      </c>
      <c r="D41" s="327"/>
      <c r="E41" s="327"/>
      <c r="F41" s="328"/>
      <c r="G41" s="328"/>
      <c r="H41" s="328"/>
      <c r="I41" s="329"/>
      <c r="J41" s="329"/>
      <c r="K41" s="329"/>
      <c r="L41" s="329"/>
      <c r="M41" s="329"/>
      <c r="N41" s="329"/>
      <c r="O41" s="329"/>
      <c r="P41" s="329"/>
      <c r="Q41" s="328"/>
      <c r="R41" s="328"/>
    </row>
    <row r="42" spans="1:18" ht="15.5">
      <c r="A42" s="286" t="s">
        <v>311</v>
      </c>
      <c r="B42" s="286"/>
      <c r="C42" s="286"/>
      <c r="D42" s="286"/>
      <c r="E42" s="286"/>
      <c r="F42" s="286"/>
      <c r="G42" s="286"/>
      <c r="H42" s="286"/>
      <c r="I42" s="324"/>
      <c r="J42" s="324"/>
      <c r="K42" s="324"/>
      <c r="L42" s="324"/>
      <c r="M42" s="324"/>
      <c r="N42" s="324"/>
      <c r="O42" s="324"/>
      <c r="P42" s="324"/>
      <c r="Q42" s="286"/>
      <c r="R42" s="286"/>
    </row>
    <row r="43" spans="1:18" ht="80" customHeight="1">
      <c r="A43" s="330" t="s">
        <v>418</v>
      </c>
      <c r="B43" s="294"/>
      <c r="C43" s="294"/>
      <c r="D43" s="294"/>
      <c r="E43" s="294"/>
      <c r="F43" s="294"/>
      <c r="G43" s="294"/>
      <c r="H43" s="294"/>
      <c r="I43" s="302"/>
      <c r="J43" s="302"/>
      <c r="K43" s="302"/>
      <c r="L43" s="302"/>
      <c r="M43" s="302"/>
      <c r="N43" s="302"/>
      <c r="O43" s="302"/>
      <c r="P43" s="302"/>
      <c r="Q43" s="294"/>
      <c r="R43" s="294"/>
    </row>
    <row r="44" spans="1:18" ht="82" customHeight="1">
      <c r="A44" s="330" t="s">
        <v>419</v>
      </c>
      <c r="B44" s="294"/>
      <c r="C44" s="294"/>
      <c r="D44" s="294"/>
      <c r="E44" s="294"/>
      <c r="F44" s="294"/>
      <c r="G44" s="294"/>
      <c r="H44" s="294"/>
      <c r="I44" s="302"/>
      <c r="J44" s="302"/>
      <c r="K44" s="302"/>
      <c r="L44" s="302"/>
      <c r="M44" s="302"/>
      <c r="N44" s="302"/>
      <c r="O44" s="302"/>
      <c r="P44" s="302"/>
      <c r="Q44" s="294"/>
      <c r="R44" s="294"/>
    </row>
    <row r="79" spans="1:18" s="19" customFormat="1" ht="13">
      <c r="A79" s="26"/>
      <c r="B79" s="27"/>
      <c r="C79" s="27"/>
      <c r="D79" s="27"/>
      <c r="E79" s="27"/>
      <c r="F79" s="28"/>
      <c r="G79" s="28"/>
      <c r="H79" s="29"/>
      <c r="I79" s="30"/>
      <c r="J79" s="30"/>
      <c r="K79" s="59"/>
      <c r="L79" s="59"/>
      <c r="M79" s="25"/>
      <c r="N79" s="25"/>
      <c r="O79" s="25"/>
      <c r="P79" s="25"/>
      <c r="Q79" s="24"/>
      <c r="R79" s="24"/>
    </row>
    <row r="80" spans="1:18" s="19" customFormat="1" ht="24" customHeight="1">
      <c r="A80" s="26"/>
      <c r="B80" s="81"/>
      <c r="C80" s="81"/>
      <c r="D80" s="81"/>
      <c r="E80" s="81"/>
      <c r="F80" s="82"/>
      <c r="G80" s="82"/>
      <c r="H80" s="83"/>
      <c r="I80" s="83"/>
      <c r="J80" s="29"/>
      <c r="K80" s="59"/>
      <c r="L80" s="59"/>
      <c r="M80" s="57"/>
      <c r="N80" s="57"/>
      <c r="O80" s="57"/>
      <c r="P80" s="57"/>
      <c r="Q80" s="24"/>
      <c r="R80" s="24"/>
    </row>
    <row r="81" spans="1:18" s="19" customFormat="1" ht="13">
      <c r="A81" s="26"/>
      <c r="B81" s="67"/>
      <c r="C81" s="67"/>
      <c r="D81" s="67"/>
      <c r="E81" s="67"/>
      <c r="F81" s="68"/>
      <c r="G81" s="68"/>
      <c r="H81" s="69"/>
      <c r="I81" s="70"/>
      <c r="J81" s="601"/>
      <c r="K81" s="58"/>
      <c r="L81" s="58"/>
      <c r="M81" s="60"/>
      <c r="N81" s="60"/>
      <c r="O81" s="60"/>
      <c r="P81" s="60"/>
      <c r="Q81" s="24"/>
      <c r="R81" s="24"/>
    </row>
    <row r="82" spans="1:18" s="19" customFormat="1" ht="13">
      <c r="A82" s="26"/>
      <c r="B82" s="67"/>
      <c r="C82" s="67"/>
      <c r="D82" s="67"/>
      <c r="E82" s="67"/>
      <c r="F82" s="68"/>
      <c r="G82" s="68"/>
      <c r="H82" s="69"/>
      <c r="I82" s="70"/>
      <c r="J82" s="601"/>
      <c r="K82" s="58"/>
      <c r="L82" s="58"/>
      <c r="M82" s="60"/>
      <c r="N82" s="60"/>
      <c r="O82" s="60"/>
      <c r="P82" s="60"/>
      <c r="Q82" s="24"/>
      <c r="R82" s="24"/>
    </row>
    <row r="83" spans="1:18" s="19" customFormat="1" ht="11.5">
      <c r="A83" s="26"/>
      <c r="B83" s="71"/>
      <c r="C83" s="71"/>
      <c r="D83" s="71"/>
      <c r="E83" s="71"/>
      <c r="F83" s="71"/>
      <c r="G83" s="71"/>
      <c r="H83" s="71"/>
      <c r="I83" s="71"/>
      <c r="J83" s="602"/>
      <c r="K83" s="59"/>
      <c r="L83" s="59"/>
      <c r="M83" s="61"/>
      <c r="N83" s="61"/>
      <c r="O83" s="61"/>
      <c r="P83" s="61"/>
      <c r="Q83" s="24"/>
      <c r="R83" s="24"/>
    </row>
    <row r="84" spans="1:18" s="19" customFormat="1" ht="13">
      <c r="A84" s="26"/>
      <c r="B84" s="71"/>
      <c r="C84" s="71"/>
      <c r="D84" s="71"/>
      <c r="E84" s="71"/>
      <c r="F84" s="72"/>
      <c r="G84" s="72"/>
      <c r="H84" s="73"/>
      <c r="I84" s="70"/>
      <c r="J84" s="601"/>
      <c r="K84" s="59"/>
      <c r="L84" s="59"/>
      <c r="M84" s="25"/>
      <c r="N84" s="25"/>
      <c r="O84" s="25"/>
      <c r="P84" s="25"/>
      <c r="Q84" s="24"/>
      <c r="R84" s="24"/>
    </row>
    <row r="85" spans="1:18" s="19" customFormat="1">
      <c r="A85" s="51"/>
      <c r="B85" s="67"/>
      <c r="C85" s="67"/>
      <c r="D85" s="67"/>
      <c r="E85" s="67"/>
      <c r="F85" s="68"/>
      <c r="G85" s="68"/>
      <c r="H85" s="74"/>
      <c r="I85" s="75"/>
      <c r="J85" s="603"/>
      <c r="K85" s="58"/>
      <c r="L85" s="58"/>
      <c r="M85" s="25"/>
      <c r="N85" s="25"/>
      <c r="O85" s="25"/>
      <c r="P85" s="25"/>
      <c r="Q85" s="24"/>
      <c r="R85" s="24"/>
    </row>
    <row r="86" spans="1:18" s="19" customFormat="1" ht="11.5">
      <c r="A86" s="26"/>
      <c r="B86" s="71"/>
      <c r="C86" s="71"/>
      <c r="D86" s="71"/>
      <c r="E86" s="71"/>
      <c r="F86" s="71"/>
      <c r="G86" s="71"/>
      <c r="H86" s="71"/>
      <c r="I86" s="76"/>
      <c r="J86" s="604"/>
      <c r="K86" s="59"/>
      <c r="L86" s="59"/>
      <c r="M86" s="25"/>
      <c r="N86" s="25"/>
      <c r="O86" s="25"/>
      <c r="P86" s="25"/>
      <c r="Q86" s="24"/>
      <c r="R86" s="24"/>
    </row>
    <row r="87" spans="1:18" s="19" customFormat="1" ht="13">
      <c r="A87" s="26"/>
      <c r="B87" s="71"/>
      <c r="C87" s="71"/>
      <c r="D87" s="71"/>
      <c r="E87" s="71"/>
      <c r="F87" s="72"/>
      <c r="G87" s="72"/>
      <c r="H87" s="73"/>
      <c r="I87" s="70"/>
      <c r="J87" s="601"/>
      <c r="K87" s="23"/>
      <c r="L87" s="23"/>
      <c r="M87" s="25"/>
      <c r="N87" s="25"/>
      <c r="O87" s="25"/>
      <c r="P87" s="25"/>
      <c r="Q87" s="24"/>
      <c r="R87" s="24"/>
    </row>
    <row r="88" spans="1:18" s="9" customFormat="1" ht="11.5">
      <c r="A88" s="51"/>
      <c r="B88" s="77"/>
      <c r="C88" s="77"/>
      <c r="D88" s="77"/>
      <c r="E88" s="77"/>
      <c r="F88" s="77"/>
      <c r="G88" s="77"/>
      <c r="H88" s="69"/>
      <c r="I88" s="78"/>
      <c r="J88" s="605"/>
      <c r="K88" s="20"/>
      <c r="L88" s="20"/>
      <c r="M88" s="22"/>
      <c r="N88" s="22"/>
      <c r="O88" s="22"/>
      <c r="P88" s="22"/>
      <c r="Q88" s="21"/>
      <c r="R88" s="21"/>
    </row>
    <row r="89" spans="1:18" s="9" customFormat="1" ht="14.5">
      <c r="A89" s="42"/>
      <c r="B89" s="79"/>
      <c r="C89" s="79"/>
      <c r="D89" s="79"/>
      <c r="E89" s="79"/>
      <c r="F89" s="80"/>
      <c r="G89" s="80"/>
      <c r="H89" s="69"/>
      <c r="I89" s="78"/>
      <c r="J89" s="605"/>
      <c r="K89" s="20"/>
      <c r="L89" s="20"/>
      <c r="M89" s="22"/>
      <c r="N89" s="22"/>
      <c r="O89" s="22"/>
      <c r="P89" s="22"/>
      <c r="Q89" s="21"/>
      <c r="R89" s="21"/>
    </row>
    <row r="90" spans="1:18" s="9" customFormat="1" ht="14.5">
      <c r="A90" s="42"/>
      <c r="B90" s="79"/>
      <c r="C90" s="79"/>
      <c r="D90" s="79"/>
      <c r="E90" s="79"/>
      <c r="F90" s="80"/>
      <c r="G90" s="80"/>
      <c r="H90" s="69"/>
      <c r="I90" s="78"/>
      <c r="J90" s="605"/>
      <c r="K90" s="20"/>
      <c r="L90" s="20"/>
      <c r="M90" s="22"/>
      <c r="N90" s="22"/>
      <c r="O90" s="22"/>
      <c r="P90" s="22"/>
      <c r="Q90" s="21"/>
      <c r="R90" s="21"/>
    </row>
    <row r="91" spans="1:18" s="9" customFormat="1" ht="14.5">
      <c r="A91" s="42"/>
      <c r="B91" s="79"/>
      <c r="C91" s="79"/>
      <c r="D91" s="79"/>
      <c r="E91" s="79"/>
      <c r="F91" s="80"/>
      <c r="G91" s="80"/>
      <c r="H91" s="69"/>
      <c r="I91" s="78"/>
      <c r="J91" s="605"/>
      <c r="K91" s="20"/>
      <c r="L91" s="20"/>
      <c r="M91" s="22"/>
      <c r="N91" s="22"/>
      <c r="O91" s="22"/>
      <c r="P91" s="22"/>
      <c r="Q91" s="21"/>
      <c r="R91" s="21"/>
    </row>
    <row r="92" spans="1:18" s="9" customFormat="1" ht="11.5">
      <c r="B92" s="84"/>
      <c r="C92" s="84"/>
      <c r="D92" s="84"/>
      <c r="E92" s="84"/>
      <c r="F92" s="63"/>
      <c r="G92" s="63"/>
      <c r="H92" s="52"/>
      <c r="I92" s="66"/>
      <c r="J92" s="18"/>
      <c r="K92" s="18"/>
      <c r="L92" s="18"/>
      <c r="M92" s="32"/>
      <c r="N92" s="32"/>
      <c r="O92" s="32"/>
      <c r="P92" s="32"/>
    </row>
    <row r="93" spans="1:18" s="9" customFormat="1" ht="11.5">
      <c r="I93" s="18"/>
      <c r="J93" s="18"/>
      <c r="K93" s="18"/>
      <c r="L93" s="18"/>
      <c r="M93" s="18"/>
      <c r="N93" s="18"/>
      <c r="O93" s="18"/>
      <c r="P93" s="18"/>
    </row>
    <row r="94" spans="1:18" ht="13">
      <c r="A94" s="56"/>
    </row>
  </sheetData>
  <mergeCells count="5">
    <mergeCell ref="F31:I31"/>
    <mergeCell ref="B32:D32"/>
    <mergeCell ref="B38:C38"/>
    <mergeCell ref="D38:E38"/>
    <mergeCell ref="F38:G38"/>
  </mergeCells>
  <phoneticPr fontId="20" type="noConversion"/>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5"/>
  <sheetViews>
    <sheetView topLeftCell="A56" zoomScaleNormal="100" workbookViewId="0">
      <selection activeCell="L75" sqref="L75"/>
    </sheetView>
  </sheetViews>
  <sheetFormatPr defaultColWidth="9.1796875" defaultRowHeight="12.5"/>
  <cols>
    <col min="1" max="1" width="49.453125" style="36" customWidth="1"/>
    <col min="2" max="2" width="50.7265625" style="36" customWidth="1"/>
    <col min="3" max="3" width="11.90625" style="36" customWidth="1"/>
    <col min="4" max="4" width="18.6328125" style="36" customWidth="1"/>
    <col min="5" max="5" width="27.08984375" style="35" customWidth="1"/>
    <col min="6" max="6" width="18.81640625" style="35" customWidth="1"/>
    <col min="7" max="7" width="58.81640625" style="35" customWidth="1"/>
    <col min="8" max="8" width="58.08984375" style="35" customWidth="1"/>
    <col min="9" max="9" width="58.1796875" style="35" customWidth="1"/>
    <col min="10" max="11" width="21.1796875" style="35" customWidth="1"/>
    <col min="12" max="12" width="19.26953125" style="35" customWidth="1"/>
    <col min="13" max="13" width="24.6328125" style="35" customWidth="1"/>
    <col min="14" max="16384" width="9.1796875" style="35"/>
  </cols>
  <sheetData>
    <row r="1" spans="1:13" customFormat="1" ht="15.5">
      <c r="A1" s="153" t="s">
        <v>374</v>
      </c>
      <c r="B1" s="153" t="s">
        <v>137</v>
      </c>
      <c r="C1" s="153" t="s">
        <v>232</v>
      </c>
      <c r="D1" s="153" t="s">
        <v>32</v>
      </c>
      <c r="E1" s="153" t="s">
        <v>233</v>
      </c>
      <c r="F1" s="154"/>
      <c r="G1" s="331"/>
      <c r="H1" s="154"/>
      <c r="I1" s="154"/>
      <c r="J1" s="154"/>
      <c r="K1" s="154"/>
      <c r="L1" s="154"/>
      <c r="M1" s="332"/>
    </row>
    <row r="2" spans="1:13" customFormat="1" ht="31">
      <c r="A2" s="153" t="s">
        <v>324</v>
      </c>
      <c r="B2" s="153" t="s">
        <v>468</v>
      </c>
      <c r="C2" s="153"/>
      <c r="D2" s="301">
        <v>1</v>
      </c>
      <c r="E2" s="179">
        <v>110</v>
      </c>
      <c r="F2" s="154"/>
      <c r="G2" s="154"/>
      <c r="H2" s="333"/>
      <c r="I2" s="333"/>
      <c r="J2" s="333"/>
      <c r="K2" s="333"/>
      <c r="L2" s="154"/>
      <c r="M2" s="332"/>
    </row>
    <row r="3" spans="1:13" customFormat="1" ht="15.5">
      <c r="A3" s="204" t="s">
        <v>469</v>
      </c>
      <c r="B3" s="204" t="s">
        <v>1</v>
      </c>
      <c r="C3" s="204"/>
      <c r="D3" s="168"/>
      <c r="E3" s="154"/>
      <c r="F3" s="154"/>
      <c r="G3" s="154"/>
      <c r="H3" s="154"/>
      <c r="I3" s="154"/>
      <c r="J3" s="154"/>
      <c r="K3" s="154"/>
      <c r="L3" s="154"/>
      <c r="M3" s="332"/>
    </row>
    <row r="4" spans="1:13" customFormat="1" ht="15.5">
      <c r="A4" s="204" t="s">
        <v>470</v>
      </c>
      <c r="B4" s="204" t="s">
        <v>261</v>
      </c>
      <c r="C4" s="204"/>
      <c r="D4" s="168"/>
      <c r="E4" s="155"/>
      <c r="F4" s="154"/>
      <c r="G4" s="154"/>
      <c r="H4" s="154"/>
      <c r="I4" s="154"/>
      <c r="J4" s="154"/>
      <c r="K4" s="154"/>
      <c r="L4" s="154"/>
      <c r="M4" s="332"/>
    </row>
    <row r="5" spans="1:13" customFormat="1" ht="15.5">
      <c r="A5" s="204" t="s">
        <v>317</v>
      </c>
      <c r="B5" s="204">
        <v>8</v>
      </c>
      <c r="C5" s="204"/>
      <c r="D5" s="204"/>
      <c r="E5" s="334"/>
      <c r="F5" s="299"/>
      <c r="G5" s="299"/>
      <c r="H5" s="333"/>
      <c r="I5" s="333"/>
      <c r="J5" s="333"/>
      <c r="K5" s="333"/>
      <c r="L5" s="154"/>
      <c r="M5" s="332"/>
    </row>
    <row r="6" spans="1:13" customFormat="1" ht="20.5" customHeight="1">
      <c r="A6" s="204" t="s">
        <v>318</v>
      </c>
      <c r="B6" s="154" t="s">
        <v>320</v>
      </c>
      <c r="C6" s="204"/>
      <c r="D6" s="204"/>
      <c r="E6" s="333"/>
      <c r="F6" s="798"/>
      <c r="G6" s="798"/>
      <c r="H6" s="798"/>
      <c r="I6" s="333"/>
      <c r="J6" s="333"/>
      <c r="K6" s="333"/>
      <c r="L6" s="154"/>
      <c r="M6" s="332"/>
    </row>
    <row r="7" spans="1:13" s="8" customFormat="1" ht="19" customHeight="1">
      <c r="A7" s="160" t="s">
        <v>33</v>
      </c>
      <c r="B7" s="160" t="s">
        <v>34</v>
      </c>
      <c r="C7" s="160" t="s">
        <v>35</v>
      </c>
      <c r="D7" s="160" t="s">
        <v>282</v>
      </c>
      <c r="E7" s="160" t="s">
        <v>248</v>
      </c>
      <c r="F7" s="160" t="s">
        <v>259</v>
      </c>
      <c r="G7" s="160" t="s">
        <v>471</v>
      </c>
      <c r="H7" s="160" t="s">
        <v>472</v>
      </c>
      <c r="I7" s="160" t="s">
        <v>22</v>
      </c>
      <c r="J7" s="160"/>
      <c r="K7" s="160"/>
      <c r="L7" s="335"/>
      <c r="M7" s="335"/>
    </row>
    <row r="8" spans="1:13" s="9" customFormat="1" ht="16" customHeight="1">
      <c r="A8" s="174" t="s">
        <v>473</v>
      </c>
      <c r="B8" s="364"/>
      <c r="C8" s="365"/>
      <c r="D8" s="366"/>
      <c r="E8" s="367"/>
      <c r="F8" s="368"/>
      <c r="G8" s="368"/>
      <c r="H8" s="368"/>
      <c r="I8" s="368"/>
      <c r="J8" s="368"/>
      <c r="K8" s="368"/>
      <c r="L8" s="328"/>
      <c r="M8" s="369"/>
    </row>
    <row r="9" spans="1:13" s="34" customFormat="1" ht="15.5">
      <c r="A9" s="301" t="s">
        <v>36</v>
      </c>
      <c r="B9" s="336"/>
      <c r="C9" s="337">
        <v>2</v>
      </c>
      <c r="D9" s="338">
        <v>2430</v>
      </c>
      <c r="E9" s="338">
        <f t="shared" ref="E9:E29" si="0">C9*D9</f>
        <v>4860</v>
      </c>
      <c r="F9" s="338">
        <f>E9/E2</f>
        <v>44.18181818181818</v>
      </c>
      <c r="G9" s="339">
        <v>1</v>
      </c>
      <c r="H9" s="339">
        <v>1</v>
      </c>
      <c r="I9" s="339">
        <v>1</v>
      </c>
      <c r="J9" s="339"/>
      <c r="K9" s="339"/>
      <c r="L9" s="340"/>
      <c r="M9" s="341"/>
    </row>
    <row r="10" spans="1:13" s="34" customFormat="1" ht="15.5">
      <c r="A10" s="301" t="s">
        <v>37</v>
      </c>
      <c r="B10" s="336"/>
      <c r="C10" s="337">
        <v>2</v>
      </c>
      <c r="D10" s="338">
        <v>3700</v>
      </c>
      <c r="E10" s="338">
        <f t="shared" si="0"/>
        <v>7400</v>
      </c>
      <c r="F10" s="338">
        <f>E10/E2</f>
        <v>67.272727272727266</v>
      </c>
      <c r="G10" s="339">
        <v>1</v>
      </c>
      <c r="H10" s="339">
        <v>1</v>
      </c>
      <c r="I10" s="339">
        <v>1</v>
      </c>
      <c r="J10" s="339"/>
      <c r="K10" s="339"/>
      <c r="L10" s="340"/>
      <c r="M10" s="341"/>
    </row>
    <row r="11" spans="1:13" s="34" customFormat="1" ht="15.5">
      <c r="A11" s="301" t="s">
        <v>319</v>
      </c>
      <c r="B11" s="336"/>
      <c r="C11" s="337">
        <v>2</v>
      </c>
      <c r="D11" s="338">
        <v>3240</v>
      </c>
      <c r="E11" s="338">
        <f t="shared" si="0"/>
        <v>6480</v>
      </c>
      <c r="F11" s="338">
        <f>E11/E2</f>
        <v>58.909090909090907</v>
      </c>
      <c r="G11" s="339">
        <v>1</v>
      </c>
      <c r="H11" s="339">
        <v>1</v>
      </c>
      <c r="I11" s="339">
        <v>1</v>
      </c>
      <c r="J11" s="339"/>
      <c r="K11" s="339"/>
      <c r="L11" s="340"/>
      <c r="M11" s="341"/>
    </row>
    <row r="12" spans="1:13" s="34" customFormat="1" ht="15.5">
      <c r="A12" s="301" t="s">
        <v>38</v>
      </c>
      <c r="B12" s="336"/>
      <c r="C12" s="337">
        <v>8</v>
      </c>
      <c r="D12" s="338">
        <v>1600</v>
      </c>
      <c r="E12" s="338">
        <f t="shared" si="0"/>
        <v>12800</v>
      </c>
      <c r="F12" s="338">
        <f>E12/E2</f>
        <v>116.36363636363636</v>
      </c>
      <c r="G12" s="339">
        <v>1</v>
      </c>
      <c r="H12" s="339">
        <v>1</v>
      </c>
      <c r="I12" s="339">
        <v>1</v>
      </c>
      <c r="J12" s="339"/>
      <c r="K12" s="339"/>
      <c r="L12" s="340"/>
      <c r="M12" s="341"/>
    </row>
    <row r="13" spans="1:13" s="34" customFormat="1" ht="15.5">
      <c r="A13" s="301" t="s">
        <v>39</v>
      </c>
      <c r="B13" s="336"/>
      <c r="C13" s="337">
        <v>1</v>
      </c>
      <c r="D13" s="338">
        <v>6000</v>
      </c>
      <c r="E13" s="338">
        <f t="shared" si="0"/>
        <v>6000</v>
      </c>
      <c r="F13" s="338">
        <f>E13/E2</f>
        <v>54.545454545454547</v>
      </c>
      <c r="G13" s="339">
        <v>1</v>
      </c>
      <c r="H13" s="339">
        <v>1</v>
      </c>
      <c r="I13" s="339">
        <v>1</v>
      </c>
      <c r="J13" s="339"/>
      <c r="K13" s="339"/>
      <c r="L13" s="340"/>
      <c r="M13" s="341"/>
    </row>
    <row r="14" spans="1:13" s="34" customFormat="1" ht="15.5">
      <c r="A14" s="301" t="s">
        <v>40</v>
      </c>
      <c r="B14" s="336"/>
      <c r="C14" s="337">
        <v>6</v>
      </c>
      <c r="D14" s="338">
        <v>750</v>
      </c>
      <c r="E14" s="338">
        <f t="shared" si="0"/>
        <v>4500</v>
      </c>
      <c r="F14" s="338">
        <f>E14/E2</f>
        <v>40.909090909090907</v>
      </c>
      <c r="G14" s="339">
        <v>1</v>
      </c>
      <c r="H14" s="339">
        <v>1</v>
      </c>
      <c r="I14" s="339">
        <v>1</v>
      </c>
      <c r="J14" s="339"/>
      <c r="K14" s="339"/>
      <c r="L14" s="340"/>
      <c r="M14" s="341"/>
    </row>
    <row r="15" spans="1:13" s="34" customFormat="1" ht="15.5">
      <c r="A15" s="301" t="s">
        <v>41</v>
      </c>
      <c r="B15" s="336"/>
      <c r="C15" s="337">
        <v>5</v>
      </c>
      <c r="D15" s="338">
        <v>1200</v>
      </c>
      <c r="E15" s="338">
        <f t="shared" si="0"/>
        <v>6000</v>
      </c>
      <c r="F15" s="338">
        <f>E15/E2</f>
        <v>54.545454545454547</v>
      </c>
      <c r="G15" s="339">
        <v>1</v>
      </c>
      <c r="H15" s="339">
        <v>1</v>
      </c>
      <c r="I15" s="339">
        <v>1</v>
      </c>
      <c r="J15" s="339"/>
      <c r="K15" s="339"/>
      <c r="L15" s="340"/>
      <c r="M15" s="341"/>
    </row>
    <row r="16" spans="1:13" s="34" customFormat="1" ht="15.5">
      <c r="A16" s="301" t="s">
        <v>42</v>
      </c>
      <c r="B16" s="178"/>
      <c r="C16" s="154">
        <v>4</v>
      </c>
      <c r="D16" s="342">
        <v>3220</v>
      </c>
      <c r="E16" s="338">
        <f t="shared" si="0"/>
        <v>12880</v>
      </c>
      <c r="F16" s="338">
        <f>E16/E2</f>
        <v>117.09090909090909</v>
      </c>
      <c r="G16" s="339">
        <v>1</v>
      </c>
      <c r="H16" s="339">
        <v>1</v>
      </c>
      <c r="I16" s="339">
        <v>1</v>
      </c>
      <c r="J16" s="339"/>
      <c r="K16" s="339"/>
      <c r="L16" s="340"/>
      <c r="M16" s="341"/>
    </row>
    <row r="17" spans="1:13" s="34" customFormat="1" ht="15.5">
      <c r="A17" s="343" t="s">
        <v>43</v>
      </c>
      <c r="B17" s="343"/>
      <c r="C17" s="154">
        <v>1</v>
      </c>
      <c r="D17" s="344">
        <v>3600</v>
      </c>
      <c r="E17" s="338">
        <f t="shared" si="0"/>
        <v>3600</v>
      </c>
      <c r="F17" s="338">
        <f>E17/E2</f>
        <v>32.727272727272727</v>
      </c>
      <c r="G17" s="339">
        <v>1</v>
      </c>
      <c r="H17" s="339">
        <v>1</v>
      </c>
      <c r="I17" s="339">
        <v>1</v>
      </c>
      <c r="J17" s="339"/>
      <c r="K17" s="339"/>
      <c r="L17" s="340"/>
      <c r="M17" s="341"/>
    </row>
    <row r="18" spans="1:13" s="34" customFormat="1" ht="15.5">
      <c r="A18" s="301" t="s">
        <v>44</v>
      </c>
      <c r="B18" s="178"/>
      <c r="C18" s="154">
        <v>6</v>
      </c>
      <c r="D18" s="344">
        <v>175</v>
      </c>
      <c r="E18" s="338">
        <f t="shared" si="0"/>
        <v>1050</v>
      </c>
      <c r="F18" s="338">
        <f>E18/E2</f>
        <v>9.545454545454545</v>
      </c>
      <c r="G18" s="339">
        <v>1</v>
      </c>
      <c r="H18" s="339">
        <v>1</v>
      </c>
      <c r="I18" s="339">
        <v>1</v>
      </c>
      <c r="J18" s="339"/>
      <c r="K18" s="339"/>
      <c r="L18" s="340"/>
      <c r="M18" s="341"/>
    </row>
    <row r="19" spans="1:13" s="34" customFormat="1" ht="31">
      <c r="A19" s="301" t="s">
        <v>45</v>
      </c>
      <c r="B19" s="178"/>
      <c r="C19" s="154">
        <v>40</v>
      </c>
      <c r="D19" s="342">
        <v>1560</v>
      </c>
      <c r="E19" s="338">
        <f t="shared" si="0"/>
        <v>62400</v>
      </c>
      <c r="F19" s="338">
        <f>E19/E2</f>
        <v>567.27272727272725</v>
      </c>
      <c r="G19" s="339">
        <v>1</v>
      </c>
      <c r="H19" s="339">
        <v>1</v>
      </c>
      <c r="I19" s="339">
        <v>1</v>
      </c>
      <c r="J19" s="339"/>
      <c r="K19" s="339"/>
      <c r="L19" s="340"/>
      <c r="M19" s="341"/>
    </row>
    <row r="20" spans="1:13" s="34" customFormat="1" ht="15.5">
      <c r="A20" s="301" t="s">
        <v>46</v>
      </c>
      <c r="B20" s="178"/>
      <c r="C20" s="154">
        <v>10</v>
      </c>
      <c r="D20" s="342">
        <v>1560</v>
      </c>
      <c r="E20" s="338">
        <f t="shared" si="0"/>
        <v>15600</v>
      </c>
      <c r="F20" s="338">
        <f>E20/E2</f>
        <v>141.81818181818181</v>
      </c>
      <c r="G20" s="339">
        <v>1</v>
      </c>
      <c r="H20" s="339">
        <v>1</v>
      </c>
      <c r="I20" s="339">
        <v>1</v>
      </c>
      <c r="J20" s="339"/>
      <c r="K20" s="339"/>
      <c r="L20" s="340"/>
      <c r="M20" s="341"/>
    </row>
    <row r="21" spans="1:13" s="34" customFormat="1" ht="15.5">
      <c r="A21" s="301" t="s">
        <v>47</v>
      </c>
      <c r="B21" s="178"/>
      <c r="C21" s="154">
        <v>2</v>
      </c>
      <c r="D21" s="342">
        <v>6000</v>
      </c>
      <c r="E21" s="338">
        <f t="shared" si="0"/>
        <v>12000</v>
      </c>
      <c r="F21" s="338">
        <f>E21/E2</f>
        <v>109.09090909090909</v>
      </c>
      <c r="G21" s="339">
        <v>1</v>
      </c>
      <c r="H21" s="339">
        <v>1</v>
      </c>
      <c r="I21" s="339">
        <v>1</v>
      </c>
      <c r="J21" s="339"/>
      <c r="K21" s="339"/>
      <c r="L21" s="340"/>
      <c r="M21" s="341"/>
    </row>
    <row r="22" spans="1:13" s="34" customFormat="1" ht="15.5">
      <c r="A22" s="301" t="s">
        <v>48</v>
      </c>
      <c r="B22" s="178"/>
      <c r="C22" s="154">
        <v>1</v>
      </c>
      <c r="D22" s="342">
        <v>2500</v>
      </c>
      <c r="E22" s="338">
        <f t="shared" si="0"/>
        <v>2500</v>
      </c>
      <c r="F22" s="338">
        <f>E22/E2</f>
        <v>22.727272727272727</v>
      </c>
      <c r="G22" s="339">
        <v>1</v>
      </c>
      <c r="H22" s="339">
        <v>1</v>
      </c>
      <c r="I22" s="339">
        <v>1</v>
      </c>
      <c r="J22" s="339"/>
      <c r="K22" s="339"/>
      <c r="L22" s="340"/>
      <c r="M22" s="341"/>
    </row>
    <row r="23" spans="1:13" s="34" customFormat="1" ht="15.5">
      <c r="A23" s="301" t="s">
        <v>49</v>
      </c>
      <c r="B23" s="178"/>
      <c r="C23" s="154">
        <v>20</v>
      </c>
      <c r="D23" s="342">
        <v>270</v>
      </c>
      <c r="E23" s="338">
        <f t="shared" si="0"/>
        <v>5400</v>
      </c>
      <c r="F23" s="338">
        <f>E23/E2</f>
        <v>49.090909090909093</v>
      </c>
      <c r="G23" s="339">
        <v>1</v>
      </c>
      <c r="H23" s="339">
        <v>1</v>
      </c>
      <c r="I23" s="339">
        <v>1</v>
      </c>
      <c r="J23" s="339"/>
      <c r="K23" s="339"/>
      <c r="L23" s="340"/>
      <c r="M23" s="341"/>
    </row>
    <row r="24" spans="1:13" s="34" customFormat="1" ht="15.5">
      <c r="A24" s="301" t="s">
        <v>50</v>
      </c>
      <c r="B24" s="178"/>
      <c r="C24" s="154">
        <v>6</v>
      </c>
      <c r="D24" s="342">
        <v>285</v>
      </c>
      <c r="E24" s="338">
        <f t="shared" si="0"/>
        <v>1710</v>
      </c>
      <c r="F24" s="338">
        <f>E24/E2</f>
        <v>15.545454545454545</v>
      </c>
      <c r="G24" s="339">
        <v>1</v>
      </c>
      <c r="H24" s="339">
        <v>1</v>
      </c>
      <c r="I24" s="339">
        <v>1</v>
      </c>
      <c r="J24" s="339"/>
      <c r="K24" s="339"/>
      <c r="L24" s="340"/>
      <c r="M24" s="341"/>
    </row>
    <row r="25" spans="1:13" s="34" customFormat="1" ht="15.5">
      <c r="A25" s="301" t="s">
        <v>51</v>
      </c>
      <c r="B25" s="178"/>
      <c r="C25" s="154">
        <v>6</v>
      </c>
      <c r="D25" s="342">
        <v>150</v>
      </c>
      <c r="E25" s="338">
        <f t="shared" si="0"/>
        <v>900</v>
      </c>
      <c r="F25" s="338">
        <f>E25/E2</f>
        <v>8.1818181818181817</v>
      </c>
      <c r="G25" s="339">
        <v>1</v>
      </c>
      <c r="H25" s="339">
        <v>1</v>
      </c>
      <c r="I25" s="339">
        <v>1</v>
      </c>
      <c r="J25" s="339"/>
      <c r="K25" s="339"/>
      <c r="L25" s="340"/>
      <c r="M25" s="341"/>
    </row>
    <row r="26" spans="1:13" s="34" customFormat="1" ht="15.5">
      <c r="A26" s="301" t="s">
        <v>52</v>
      </c>
      <c r="B26" s="178"/>
      <c r="C26" s="154">
        <v>50</v>
      </c>
      <c r="D26" s="342">
        <v>16</v>
      </c>
      <c r="E26" s="338">
        <f t="shared" si="0"/>
        <v>800</v>
      </c>
      <c r="F26" s="338">
        <f>E26/E2</f>
        <v>7.2727272727272725</v>
      </c>
      <c r="G26" s="339">
        <v>1</v>
      </c>
      <c r="H26" s="339">
        <v>1</v>
      </c>
      <c r="I26" s="339">
        <v>1</v>
      </c>
      <c r="J26" s="339"/>
      <c r="K26" s="339"/>
      <c r="L26" s="340"/>
      <c r="M26" s="341"/>
    </row>
    <row r="27" spans="1:13" s="34" customFormat="1" ht="15.5">
      <c r="A27" s="301" t="s">
        <v>53</v>
      </c>
      <c r="B27" s="178"/>
      <c r="C27" s="154">
        <f>1+1</f>
        <v>2</v>
      </c>
      <c r="D27" s="342">
        <v>430</v>
      </c>
      <c r="E27" s="338">
        <f t="shared" si="0"/>
        <v>860</v>
      </c>
      <c r="F27" s="338">
        <f>E27/E2</f>
        <v>7.8181818181818183</v>
      </c>
      <c r="G27" s="339">
        <v>1</v>
      </c>
      <c r="H27" s="339">
        <v>1</v>
      </c>
      <c r="I27" s="339">
        <v>1</v>
      </c>
      <c r="J27" s="339"/>
      <c r="K27" s="339"/>
      <c r="L27" s="340"/>
      <c r="M27" s="341"/>
    </row>
    <row r="28" spans="1:13" s="34" customFormat="1" ht="15.5">
      <c r="A28" s="301" t="s">
        <v>54</v>
      </c>
      <c r="B28" s="178"/>
      <c r="C28" s="154">
        <v>15</v>
      </c>
      <c r="D28" s="342">
        <v>525</v>
      </c>
      <c r="E28" s="338">
        <f t="shared" si="0"/>
        <v>7875</v>
      </c>
      <c r="F28" s="338">
        <f>E28/E2</f>
        <v>71.590909090909093</v>
      </c>
      <c r="G28" s="339">
        <v>1</v>
      </c>
      <c r="H28" s="339">
        <v>1</v>
      </c>
      <c r="I28" s="339">
        <v>1</v>
      </c>
      <c r="J28" s="339"/>
      <c r="K28" s="339"/>
      <c r="L28" s="340"/>
      <c r="M28" s="341"/>
    </row>
    <row r="29" spans="1:13" s="34" customFormat="1" ht="15.5">
      <c r="A29" s="301" t="s">
        <v>55</v>
      </c>
      <c r="B29" s="178"/>
      <c r="C29" s="154">
        <v>10</v>
      </c>
      <c r="D29" s="342">
        <v>1050</v>
      </c>
      <c r="E29" s="338">
        <f t="shared" si="0"/>
        <v>10500</v>
      </c>
      <c r="F29" s="338">
        <f>E29/E2</f>
        <v>95.454545454545453</v>
      </c>
      <c r="G29" s="339">
        <v>1</v>
      </c>
      <c r="H29" s="339">
        <v>1</v>
      </c>
      <c r="I29" s="339">
        <v>1</v>
      </c>
      <c r="J29" s="339"/>
      <c r="K29" s="339"/>
      <c r="L29" s="340"/>
      <c r="M29" s="341"/>
    </row>
    <row r="30" spans="1:13" ht="15.5">
      <c r="A30" s="370" t="s">
        <v>477</v>
      </c>
      <c r="B30" s="371"/>
      <c r="C30" s="372"/>
      <c r="D30" s="373"/>
      <c r="E30" s="374">
        <f>SUM(E9:E29)</f>
        <v>186115</v>
      </c>
      <c r="F30" s="374">
        <f>SUM(F9:F29)</f>
        <v>1691.954545454545</v>
      </c>
      <c r="G30" s="375">
        <v>1</v>
      </c>
      <c r="H30" s="375">
        <v>1</v>
      </c>
      <c r="I30" s="375">
        <v>1</v>
      </c>
      <c r="J30" s="375"/>
      <c r="K30" s="375"/>
      <c r="L30" s="265"/>
      <c r="M30" s="376"/>
    </row>
    <row r="31" spans="1:13" ht="16" customHeight="1">
      <c r="A31" s="361" t="s">
        <v>474</v>
      </c>
      <c r="B31" s="377"/>
      <c r="C31" s="378"/>
      <c r="D31" s="379"/>
      <c r="E31" s="380"/>
      <c r="F31" s="381"/>
      <c r="G31" s="379"/>
      <c r="H31" s="379"/>
      <c r="I31" s="379"/>
      <c r="J31" s="379"/>
      <c r="K31" s="379"/>
      <c r="L31" s="382"/>
      <c r="M31" s="383"/>
    </row>
    <row r="32" spans="1:13" ht="15.5">
      <c r="A32" s="301" t="s">
        <v>160</v>
      </c>
      <c r="B32" s="336" t="s">
        <v>159</v>
      </c>
      <c r="C32" s="345">
        <v>20</v>
      </c>
      <c r="D32" s="338">
        <v>25</v>
      </c>
      <c r="E32" s="338">
        <f t="shared" ref="E32:E40" si="1">C32*D32</f>
        <v>500</v>
      </c>
      <c r="F32" s="338">
        <f>E32/E2</f>
        <v>4.5454545454545459</v>
      </c>
      <c r="G32" s="339">
        <v>1</v>
      </c>
      <c r="H32" s="339">
        <v>1</v>
      </c>
      <c r="I32" s="339">
        <v>1</v>
      </c>
      <c r="J32" s="339"/>
      <c r="K32" s="339"/>
      <c r="L32" s="158"/>
      <c r="M32" s="332"/>
    </row>
    <row r="33" spans="1:13" ht="16" customHeight="1">
      <c r="A33" s="301" t="s">
        <v>161</v>
      </c>
      <c r="B33" s="336" t="s">
        <v>159</v>
      </c>
      <c r="C33" s="345">
        <v>20</v>
      </c>
      <c r="D33" s="338">
        <v>25</v>
      </c>
      <c r="E33" s="338">
        <f t="shared" si="1"/>
        <v>500</v>
      </c>
      <c r="F33" s="338">
        <f>E33/E2</f>
        <v>4.5454545454545459</v>
      </c>
      <c r="G33" s="339">
        <v>1</v>
      </c>
      <c r="H33" s="339">
        <v>1</v>
      </c>
      <c r="I33" s="339">
        <v>1</v>
      </c>
      <c r="J33" s="339"/>
      <c r="K33" s="339"/>
      <c r="L33" s="158"/>
      <c r="M33" s="332"/>
    </row>
    <row r="34" spans="1:13" ht="14.5" customHeight="1">
      <c r="A34" s="301" t="s">
        <v>162</v>
      </c>
      <c r="B34" s="336" t="s">
        <v>163</v>
      </c>
      <c r="C34" s="345">
        <v>4</v>
      </c>
      <c r="D34" s="338">
        <v>250</v>
      </c>
      <c r="E34" s="338">
        <f t="shared" si="1"/>
        <v>1000</v>
      </c>
      <c r="F34" s="338">
        <f>E34/E2</f>
        <v>9.0909090909090917</v>
      </c>
      <c r="G34" s="339">
        <v>1</v>
      </c>
      <c r="H34" s="339">
        <v>1</v>
      </c>
      <c r="I34" s="339">
        <v>1</v>
      </c>
      <c r="J34" s="339"/>
      <c r="K34" s="339"/>
      <c r="L34" s="158"/>
      <c r="M34" s="332"/>
    </row>
    <row r="35" spans="1:13" ht="14" customHeight="1">
      <c r="A35" s="301" t="s">
        <v>321</v>
      </c>
      <c r="B35" s="336"/>
      <c r="C35" s="345">
        <v>5</v>
      </c>
      <c r="D35" s="338">
        <v>40</v>
      </c>
      <c r="E35" s="338">
        <f t="shared" si="1"/>
        <v>200</v>
      </c>
      <c r="F35" s="338">
        <f>E35/E2</f>
        <v>1.8181818181818181</v>
      </c>
      <c r="G35" s="339">
        <v>1</v>
      </c>
      <c r="H35" s="339">
        <v>1</v>
      </c>
      <c r="I35" s="339">
        <v>1</v>
      </c>
      <c r="J35" s="339"/>
      <c r="K35" s="339"/>
      <c r="L35" s="158"/>
      <c r="M35" s="332"/>
    </row>
    <row r="36" spans="1:13" ht="14.5" customHeight="1">
      <c r="A36" s="301" t="s">
        <v>322</v>
      </c>
      <c r="B36" s="336" t="s">
        <v>164</v>
      </c>
      <c r="C36" s="345">
        <v>8</v>
      </c>
      <c r="D36" s="338">
        <v>270</v>
      </c>
      <c r="E36" s="338">
        <f t="shared" si="1"/>
        <v>2160</v>
      </c>
      <c r="F36" s="338">
        <f>E36/E2</f>
        <v>19.636363636363637</v>
      </c>
      <c r="G36" s="339">
        <v>1</v>
      </c>
      <c r="H36" s="339">
        <v>1</v>
      </c>
      <c r="I36" s="339">
        <v>1</v>
      </c>
      <c r="J36" s="339"/>
      <c r="K36" s="339"/>
      <c r="L36" s="158"/>
      <c r="M36" s="332"/>
    </row>
    <row r="37" spans="1:13" ht="15.5" customHeight="1">
      <c r="A37" s="301" t="s">
        <v>165</v>
      </c>
      <c r="B37" s="336"/>
      <c r="C37" s="345">
        <v>100</v>
      </c>
      <c r="D37" s="338">
        <v>10</v>
      </c>
      <c r="E37" s="338">
        <f t="shared" si="1"/>
        <v>1000</v>
      </c>
      <c r="F37" s="338">
        <f>E37/E2</f>
        <v>9.0909090909090917</v>
      </c>
      <c r="G37" s="339">
        <v>1</v>
      </c>
      <c r="H37" s="339">
        <v>1</v>
      </c>
      <c r="I37" s="339">
        <v>1</v>
      </c>
      <c r="J37" s="339"/>
      <c r="K37" s="339"/>
      <c r="L37" s="158"/>
      <c r="M37" s="332"/>
    </row>
    <row r="38" spans="1:13" ht="15.5" customHeight="1">
      <c r="A38" s="301" t="s">
        <v>166</v>
      </c>
      <c r="B38" s="336" t="s">
        <v>167</v>
      </c>
      <c r="C38" s="345">
        <v>1</v>
      </c>
      <c r="D38" s="338">
        <v>70</v>
      </c>
      <c r="E38" s="338">
        <f t="shared" si="1"/>
        <v>70</v>
      </c>
      <c r="F38" s="338">
        <f>E38/E2</f>
        <v>0.63636363636363635</v>
      </c>
      <c r="G38" s="339">
        <v>1</v>
      </c>
      <c r="H38" s="339">
        <v>1</v>
      </c>
      <c r="I38" s="339">
        <v>1</v>
      </c>
      <c r="J38" s="339"/>
      <c r="K38" s="339"/>
      <c r="L38" s="158"/>
      <c r="M38" s="332"/>
    </row>
    <row r="39" spans="1:13" ht="16" customHeight="1">
      <c r="A39" s="301" t="s">
        <v>323</v>
      </c>
      <c r="B39" s="336" t="s">
        <v>168</v>
      </c>
      <c r="C39" s="345">
        <v>10</v>
      </c>
      <c r="D39" s="338">
        <v>30</v>
      </c>
      <c r="E39" s="338">
        <f t="shared" si="1"/>
        <v>300</v>
      </c>
      <c r="F39" s="338">
        <f>E39/E2</f>
        <v>2.7272727272727271</v>
      </c>
      <c r="G39" s="339">
        <v>1</v>
      </c>
      <c r="H39" s="339">
        <v>1</v>
      </c>
      <c r="I39" s="339">
        <v>1</v>
      </c>
      <c r="J39" s="339"/>
      <c r="K39" s="339"/>
      <c r="L39" s="158"/>
      <c r="M39" s="332"/>
    </row>
    <row r="40" spans="1:13" ht="15.5">
      <c r="A40" s="301" t="s">
        <v>169</v>
      </c>
      <c r="B40" s="336" t="s">
        <v>170</v>
      </c>
      <c r="C40" s="345">
        <v>1</v>
      </c>
      <c r="D40" s="338">
        <v>860</v>
      </c>
      <c r="E40" s="338">
        <f t="shared" si="1"/>
        <v>860</v>
      </c>
      <c r="F40" s="338">
        <f>E40/E2</f>
        <v>7.8181818181818183</v>
      </c>
      <c r="G40" s="339">
        <v>1</v>
      </c>
      <c r="H40" s="339">
        <v>1</v>
      </c>
      <c r="I40" s="339">
        <v>1</v>
      </c>
      <c r="J40" s="339"/>
      <c r="K40" s="339"/>
      <c r="L40" s="158"/>
      <c r="M40" s="332"/>
    </row>
    <row r="41" spans="1:13" ht="15.5">
      <c r="A41" s="370" t="s">
        <v>478</v>
      </c>
      <c r="B41" s="384"/>
      <c r="C41" s="372"/>
      <c r="D41" s="373"/>
      <c r="E41" s="374">
        <f>SUM(E32:E40)</f>
        <v>6590</v>
      </c>
      <c r="F41" s="374">
        <f>SUM(F32:F40)</f>
        <v>59.909090909090914</v>
      </c>
      <c r="G41" s="385"/>
      <c r="H41" s="265"/>
      <c r="I41" s="230"/>
      <c r="J41" s="230"/>
      <c r="K41" s="230"/>
      <c r="L41" s="230"/>
      <c r="M41" s="376"/>
    </row>
    <row r="42" spans="1:13" ht="18" customHeight="1">
      <c r="A42" s="361" t="s">
        <v>475</v>
      </c>
      <c r="B42" s="174" t="s">
        <v>34</v>
      </c>
      <c r="C42" s="174" t="s">
        <v>35</v>
      </c>
      <c r="D42" s="174" t="s">
        <v>282</v>
      </c>
      <c r="E42" s="174" t="s">
        <v>306</v>
      </c>
      <c r="F42" s="174" t="s">
        <v>259</v>
      </c>
      <c r="G42" s="382"/>
      <c r="H42" s="382"/>
      <c r="I42" s="382"/>
      <c r="J42" s="382"/>
      <c r="K42" s="382"/>
      <c r="L42" s="382"/>
      <c r="M42" s="382"/>
    </row>
    <row r="43" spans="1:13" ht="15.5">
      <c r="A43" s="301" t="s">
        <v>56</v>
      </c>
      <c r="B43" s="336" t="s">
        <v>57</v>
      </c>
      <c r="C43" s="346">
        <v>2</v>
      </c>
      <c r="D43" s="347">
        <v>14800</v>
      </c>
      <c r="E43" s="183">
        <f>C43*D43</f>
        <v>29600</v>
      </c>
      <c r="F43" s="338">
        <f>E43/E2</f>
        <v>269.09090909090907</v>
      </c>
      <c r="G43" s="158"/>
      <c r="H43" s="158"/>
      <c r="I43" s="158"/>
      <c r="J43" s="158"/>
      <c r="K43" s="158"/>
      <c r="L43" s="158"/>
      <c r="M43" s="158"/>
    </row>
    <row r="44" spans="1:13" ht="15.5">
      <c r="A44" s="301" t="s">
        <v>58</v>
      </c>
      <c r="B44" s="336" t="s">
        <v>59</v>
      </c>
      <c r="C44" s="346">
        <v>1</v>
      </c>
      <c r="D44" s="347">
        <v>4882.76</v>
      </c>
      <c r="E44" s="183">
        <f>C44*D44</f>
        <v>4882.76</v>
      </c>
      <c r="F44" s="338">
        <f>E44/E2</f>
        <v>44.388727272727273</v>
      </c>
      <c r="G44" s="158"/>
      <c r="H44" s="158"/>
      <c r="I44" s="158"/>
      <c r="J44" s="158"/>
      <c r="K44" s="158"/>
      <c r="L44" s="158"/>
      <c r="M44" s="158"/>
    </row>
    <row r="45" spans="1:13" ht="15.5">
      <c r="A45" s="343" t="s">
        <v>60</v>
      </c>
      <c r="B45" s="348" t="s">
        <v>61</v>
      </c>
      <c r="C45" s="349">
        <v>1</v>
      </c>
      <c r="D45" s="306">
        <v>12832</v>
      </c>
      <c r="E45" s="183">
        <f>C45*D45</f>
        <v>12832</v>
      </c>
      <c r="F45" s="338">
        <f>E45/E2</f>
        <v>116.65454545454546</v>
      </c>
      <c r="G45" s="158"/>
      <c r="H45" s="350"/>
      <c r="I45" s="158"/>
      <c r="J45" s="158"/>
      <c r="K45" s="158"/>
      <c r="L45" s="158"/>
      <c r="M45" s="158"/>
    </row>
    <row r="46" spans="1:13" ht="15.5">
      <c r="A46" s="386" t="s">
        <v>479</v>
      </c>
      <c r="B46" s="387"/>
      <c r="C46" s="388"/>
      <c r="D46" s="389"/>
      <c r="E46" s="390">
        <f>SUM(E43:E45)</f>
        <v>47314.76</v>
      </c>
      <c r="F46" s="390">
        <f>SUM(F43:F45)</f>
        <v>430.13418181818179</v>
      </c>
      <c r="G46" s="265"/>
      <c r="H46" s="391"/>
      <c r="I46" s="265"/>
      <c r="J46" s="265"/>
      <c r="K46" s="265"/>
      <c r="L46" s="265"/>
      <c r="M46" s="265"/>
    </row>
    <row r="47" spans="1:13" ht="15.5">
      <c r="A47" s="361" t="s">
        <v>481</v>
      </c>
      <c r="B47" s="392" t="s">
        <v>476</v>
      </c>
      <c r="C47" s="393"/>
      <c r="D47" s="394"/>
      <c r="E47" s="200"/>
      <c r="F47" s="395"/>
      <c r="G47" s="382"/>
      <c r="H47" s="396"/>
      <c r="I47" s="382"/>
      <c r="J47" s="382"/>
      <c r="K47" s="382"/>
      <c r="L47" s="382"/>
      <c r="M47" s="382"/>
    </row>
    <row r="48" spans="1:13" ht="15.5">
      <c r="A48" s="343" t="s">
        <v>192</v>
      </c>
      <c r="B48" s="348" t="s">
        <v>199</v>
      </c>
      <c r="C48" s="349">
        <v>21</v>
      </c>
      <c r="D48" s="306">
        <f>50*110</f>
        <v>5500</v>
      </c>
      <c r="E48" s="183">
        <f t="shared" ref="E48:E54" si="2">C48*D48</f>
        <v>115500</v>
      </c>
      <c r="F48" s="338">
        <f>E48/E2</f>
        <v>1050</v>
      </c>
      <c r="G48" s="158"/>
      <c r="H48" s="350"/>
      <c r="I48" s="158"/>
      <c r="J48" s="158"/>
      <c r="K48" s="158"/>
      <c r="L48" s="158"/>
      <c r="M48" s="158"/>
    </row>
    <row r="49" spans="1:13" ht="15.5">
      <c r="A49" s="343" t="s">
        <v>193</v>
      </c>
      <c r="B49" s="348" t="s">
        <v>199</v>
      </c>
      <c r="C49" s="349">
        <v>124</v>
      </c>
      <c r="D49" s="306">
        <f>16*110</f>
        <v>1760</v>
      </c>
      <c r="E49" s="183">
        <f t="shared" si="2"/>
        <v>218240</v>
      </c>
      <c r="F49" s="338">
        <f>E49/E2</f>
        <v>1984</v>
      </c>
      <c r="G49" s="158"/>
      <c r="H49" s="350"/>
      <c r="I49" s="158"/>
      <c r="J49" s="158"/>
      <c r="K49" s="158"/>
      <c r="L49" s="158"/>
      <c r="M49" s="158"/>
    </row>
    <row r="50" spans="1:13" ht="15.5">
      <c r="A50" s="343" t="s">
        <v>194</v>
      </c>
      <c r="B50" s="348" t="s">
        <v>195</v>
      </c>
      <c r="C50" s="349">
        <v>63</v>
      </c>
      <c r="D50" s="306">
        <v>1265</v>
      </c>
      <c r="E50" s="183">
        <f t="shared" si="2"/>
        <v>79695</v>
      </c>
      <c r="F50" s="338">
        <f>E50/E2</f>
        <v>724.5</v>
      </c>
      <c r="G50" s="158"/>
      <c r="H50" s="350"/>
      <c r="I50" s="158"/>
      <c r="J50" s="158"/>
      <c r="K50" s="158"/>
      <c r="L50" s="158"/>
      <c r="M50" s="158"/>
    </row>
    <row r="51" spans="1:13" ht="15.5">
      <c r="A51" s="204" t="s">
        <v>196</v>
      </c>
      <c r="B51" s="351" t="s">
        <v>195</v>
      </c>
      <c r="C51" s="179">
        <v>122</v>
      </c>
      <c r="D51" s="344">
        <v>703</v>
      </c>
      <c r="E51" s="183">
        <f t="shared" si="2"/>
        <v>85766</v>
      </c>
      <c r="F51" s="338">
        <f>E51/E2</f>
        <v>779.69090909090914</v>
      </c>
      <c r="G51" s="158"/>
      <c r="H51" s="158"/>
      <c r="I51" s="158"/>
      <c r="J51" s="158"/>
      <c r="K51" s="158"/>
      <c r="L51" s="158"/>
      <c r="M51" s="158"/>
    </row>
    <row r="52" spans="1:13" ht="15.5">
      <c r="A52" s="204" t="s">
        <v>197</v>
      </c>
      <c r="B52" s="351" t="s">
        <v>195</v>
      </c>
      <c r="C52" s="179">
        <v>121</v>
      </c>
      <c r="D52" s="344">
        <v>703</v>
      </c>
      <c r="E52" s="183">
        <f t="shared" si="2"/>
        <v>85063</v>
      </c>
      <c r="F52" s="338">
        <f>E52/E2</f>
        <v>773.3</v>
      </c>
      <c r="G52" s="158"/>
      <c r="H52" s="158"/>
      <c r="I52" s="158"/>
      <c r="J52" s="158"/>
      <c r="K52" s="158"/>
      <c r="L52" s="158"/>
      <c r="M52" s="158"/>
    </row>
    <row r="53" spans="1:13" ht="15.5">
      <c r="A53" s="204" t="s">
        <v>198</v>
      </c>
      <c r="B53" s="351" t="s">
        <v>195</v>
      </c>
      <c r="C53" s="179">
        <v>115</v>
      </c>
      <c r="D53" s="344">
        <v>868</v>
      </c>
      <c r="E53" s="183">
        <f t="shared" si="2"/>
        <v>99820</v>
      </c>
      <c r="F53" s="338">
        <f>E53/E2</f>
        <v>907.4545454545455</v>
      </c>
      <c r="G53" s="158"/>
      <c r="H53" s="158"/>
      <c r="I53" s="158"/>
      <c r="J53" s="158"/>
      <c r="K53" s="158"/>
      <c r="L53" s="158"/>
      <c r="M53" s="158"/>
    </row>
    <row r="54" spans="1:13" ht="15.5">
      <c r="A54" s="204" t="s">
        <v>316</v>
      </c>
      <c r="B54" s="351" t="s">
        <v>200</v>
      </c>
      <c r="C54" s="179">
        <v>50</v>
      </c>
      <c r="D54" s="344">
        <v>3900</v>
      </c>
      <c r="E54" s="183">
        <f t="shared" si="2"/>
        <v>195000</v>
      </c>
      <c r="F54" s="338">
        <f>E54/E2</f>
        <v>1772.7272727272727</v>
      </c>
      <c r="G54" s="158"/>
      <c r="H54" s="158"/>
      <c r="I54" s="158"/>
      <c r="J54" s="158"/>
      <c r="K54" s="158"/>
      <c r="L54" s="158"/>
      <c r="M54" s="158"/>
    </row>
    <row r="55" spans="1:13" ht="15.5">
      <c r="A55" s="211" t="s">
        <v>480</v>
      </c>
      <c r="B55" s="397"/>
      <c r="C55" s="187"/>
      <c r="D55" s="398"/>
      <c r="E55" s="390">
        <f>SUM(E48:E54)</f>
        <v>879084</v>
      </c>
      <c r="F55" s="399">
        <f>SUM(F48:F54)</f>
        <v>7991.6727272727285</v>
      </c>
      <c r="G55" s="265"/>
      <c r="H55" s="265"/>
      <c r="I55" s="265"/>
      <c r="J55" s="265"/>
      <c r="K55" s="265"/>
      <c r="L55" s="265"/>
      <c r="M55" s="265"/>
    </row>
    <row r="56" spans="1:13" ht="28.5" customHeight="1">
      <c r="A56" s="352"/>
      <c r="B56" s="352" t="s">
        <v>385</v>
      </c>
      <c r="C56" s="352"/>
      <c r="D56" s="352" t="s">
        <v>384</v>
      </c>
      <c r="E56" s="199"/>
      <c r="F56" s="353"/>
      <c r="G56" s="353"/>
      <c r="H56" s="354" t="s">
        <v>380</v>
      </c>
      <c r="I56" s="199"/>
      <c r="J56" s="199"/>
      <c r="K56" s="199"/>
      <c r="L56" s="199"/>
      <c r="M56" s="199"/>
    </row>
    <row r="57" spans="1:13" ht="15.5">
      <c r="A57" s="361"/>
      <c r="B57" s="174"/>
      <c r="C57" s="174"/>
      <c r="D57" s="174" t="s">
        <v>10</v>
      </c>
      <c r="E57" s="400"/>
      <c r="F57" s="396" t="s">
        <v>19</v>
      </c>
      <c r="G57" s="396"/>
      <c r="H57" s="400"/>
      <c r="I57" s="360"/>
      <c r="J57" s="360"/>
      <c r="K57" s="360"/>
      <c r="L57" s="382"/>
      <c r="M57" s="382"/>
    </row>
    <row r="58" spans="1:13" ht="15.5">
      <c r="A58" s="402"/>
      <c r="B58" s="403" t="s">
        <v>233</v>
      </c>
      <c r="C58" s="403" t="s">
        <v>32</v>
      </c>
      <c r="D58" s="403" t="s">
        <v>233</v>
      </c>
      <c r="E58" s="404" t="s">
        <v>32</v>
      </c>
      <c r="F58" s="405" t="s">
        <v>233</v>
      </c>
      <c r="G58" s="406" t="s">
        <v>32</v>
      </c>
      <c r="H58" s="406" t="s">
        <v>233</v>
      </c>
      <c r="I58" s="360" t="s">
        <v>32</v>
      </c>
      <c r="J58" s="360"/>
      <c r="K58" s="360"/>
      <c r="L58" s="382"/>
      <c r="M58" s="382"/>
    </row>
    <row r="59" spans="1:13" ht="15.5">
      <c r="A59" s="356" t="s">
        <v>483</v>
      </c>
      <c r="B59" s="307">
        <f>E30</f>
        <v>186115</v>
      </c>
      <c r="C59" s="212">
        <f>F30</f>
        <v>1691.954545454545</v>
      </c>
      <c r="D59" s="307">
        <f>B59/B66</f>
        <v>3383.909090909091</v>
      </c>
      <c r="E59" s="307">
        <f>D59/E2</f>
        <v>30.762809917355373</v>
      </c>
      <c r="F59" s="307">
        <f>B59/C66</f>
        <v>2736.9852941176468</v>
      </c>
      <c r="G59" s="307">
        <f>F59/E2</f>
        <v>24.881684491978607</v>
      </c>
      <c r="H59" s="183">
        <f>SUM(D59+F59)</f>
        <v>6120.8943850267378</v>
      </c>
      <c r="I59" s="183">
        <f>H59/E2</f>
        <v>55.64449440933398</v>
      </c>
      <c r="J59" s="183"/>
      <c r="K59" s="183"/>
      <c r="L59" s="158"/>
      <c r="M59" s="158"/>
    </row>
    <row r="60" spans="1:13" ht="15.5">
      <c r="A60" s="356" t="s">
        <v>474</v>
      </c>
      <c r="B60" s="307">
        <f>E41</f>
        <v>6590</v>
      </c>
      <c r="C60" s="212">
        <f>F41</f>
        <v>59.909090909090914</v>
      </c>
      <c r="D60" s="307">
        <f>B60/B66</f>
        <v>119.81818181818181</v>
      </c>
      <c r="E60" s="307">
        <f>D60/E2</f>
        <v>1.0892561983471074</v>
      </c>
      <c r="F60" s="307">
        <f>B60/C66</f>
        <v>96.911764705882348</v>
      </c>
      <c r="G60" s="307">
        <f>F60/E2</f>
        <v>0.88101604278074863</v>
      </c>
      <c r="H60" s="183">
        <f>SUM(D60+F60)</f>
        <v>216.72994652406416</v>
      </c>
      <c r="I60" s="183">
        <f>H60/E2</f>
        <v>1.9702722411278559</v>
      </c>
      <c r="J60" s="183"/>
      <c r="K60" s="183"/>
      <c r="L60" s="158"/>
      <c r="M60" s="158"/>
    </row>
    <row r="61" spans="1:13" ht="15.5">
      <c r="A61" s="356" t="s">
        <v>475</v>
      </c>
      <c r="B61" s="307">
        <f>E46</f>
        <v>47314.76</v>
      </c>
      <c r="C61" s="307">
        <f>F46</f>
        <v>430.13418181818179</v>
      </c>
      <c r="D61" s="307">
        <f>B61/B66</f>
        <v>860.26836363636369</v>
      </c>
      <c r="E61" s="307">
        <f>D61/E2</f>
        <v>7.8206214876033062</v>
      </c>
      <c r="F61" s="307">
        <f>B61/C66</f>
        <v>695.80529411764712</v>
      </c>
      <c r="G61" s="307">
        <f>F61/E2</f>
        <v>6.3255026737967919</v>
      </c>
      <c r="H61" s="183">
        <f>SUM(D61+F61)</f>
        <v>1556.0736577540108</v>
      </c>
      <c r="I61" s="183">
        <f>H61/E2</f>
        <v>14.146124161400099</v>
      </c>
      <c r="J61" s="183"/>
      <c r="K61" s="183"/>
      <c r="L61" s="158"/>
      <c r="M61" s="158"/>
    </row>
    <row r="62" spans="1:13" ht="15.5">
      <c r="A62" s="356" t="s">
        <v>481</v>
      </c>
      <c r="B62" s="307">
        <f>E55</f>
        <v>879084</v>
      </c>
      <c r="C62" s="307">
        <f>F55</f>
        <v>7991.6727272727285</v>
      </c>
      <c r="D62" s="307">
        <f>B62/B66</f>
        <v>15983.345454545455</v>
      </c>
      <c r="E62" s="307">
        <f>D62/E2</f>
        <v>145.30314049586778</v>
      </c>
      <c r="F62" s="307">
        <f>B62/C66</f>
        <v>12927.705882352941</v>
      </c>
      <c r="G62" s="307">
        <f>F62/E2</f>
        <v>117.52459893048128</v>
      </c>
      <c r="H62" s="183">
        <f>SUM(D62+F62)</f>
        <v>28911.051336898396</v>
      </c>
      <c r="I62" s="183">
        <f>H62/E2</f>
        <v>262.82773942634907</v>
      </c>
      <c r="J62" s="183"/>
      <c r="K62" s="183"/>
      <c r="L62" s="158"/>
      <c r="M62" s="158"/>
    </row>
    <row r="63" spans="1:13" ht="15.5">
      <c r="A63" s="356" t="s">
        <v>20</v>
      </c>
      <c r="B63" s="357">
        <f t="shared" ref="B63:I63" si="3">SUM(B59:B62)</f>
        <v>1119103.76</v>
      </c>
      <c r="C63" s="357">
        <f t="shared" si="3"/>
        <v>10173.670545454546</v>
      </c>
      <c r="D63" s="357">
        <f t="shared" si="3"/>
        <v>20347.341090909093</v>
      </c>
      <c r="E63" s="357">
        <f t="shared" si="3"/>
        <v>184.97582809917355</v>
      </c>
      <c r="F63" s="357">
        <f t="shared" si="3"/>
        <v>16457.408235294119</v>
      </c>
      <c r="G63" s="357">
        <f t="shared" si="3"/>
        <v>149.61280213903743</v>
      </c>
      <c r="H63" s="357">
        <f t="shared" si="3"/>
        <v>36804.749326203208</v>
      </c>
      <c r="I63" s="357">
        <f t="shared" si="3"/>
        <v>334.58863023821101</v>
      </c>
      <c r="J63" s="357"/>
      <c r="K63" s="357"/>
      <c r="L63" s="158"/>
      <c r="M63" s="158"/>
    </row>
    <row r="64" spans="1:13" ht="15.5">
      <c r="A64" s="301"/>
      <c r="B64" s="301"/>
      <c r="C64" s="301"/>
      <c r="D64" s="301"/>
      <c r="E64" s="158"/>
      <c r="F64" s="158"/>
      <c r="G64" s="158"/>
      <c r="H64" s="158"/>
      <c r="I64" s="158"/>
      <c r="J64" s="158"/>
      <c r="K64" s="158"/>
      <c r="L64" s="158"/>
      <c r="M64" s="158"/>
    </row>
    <row r="65" spans="1:13" ht="15.5">
      <c r="A65" s="407"/>
      <c r="B65" s="361" t="s">
        <v>10</v>
      </c>
      <c r="C65" s="361" t="s">
        <v>307</v>
      </c>
      <c r="D65" s="361" t="s">
        <v>20</v>
      </c>
      <c r="E65" s="382"/>
      <c r="F65" s="382"/>
      <c r="G65" s="382"/>
      <c r="H65" s="382"/>
      <c r="I65" s="382"/>
      <c r="J65" s="382"/>
      <c r="K65" s="382"/>
      <c r="L65" s="382"/>
      <c r="M65" s="382"/>
    </row>
    <row r="66" spans="1:13" ht="15.5">
      <c r="A66" s="301" t="s">
        <v>482</v>
      </c>
      <c r="B66" s="158">
        <v>55</v>
      </c>
      <c r="C66" s="158">
        <v>68</v>
      </c>
      <c r="D66" s="158">
        <v>123</v>
      </c>
      <c r="E66" s="158"/>
      <c r="F66" s="158"/>
      <c r="G66" s="158"/>
      <c r="H66" s="158"/>
      <c r="I66" s="158"/>
      <c r="J66" s="158"/>
      <c r="K66" s="158"/>
      <c r="L66" s="158"/>
      <c r="M66" s="158"/>
    </row>
    <row r="67" spans="1:13" ht="15.5">
      <c r="A67" s="301" t="s">
        <v>378</v>
      </c>
      <c r="B67" s="158">
        <v>0.45</v>
      </c>
      <c r="C67" s="158">
        <v>0.55000000000000004</v>
      </c>
      <c r="D67" s="158">
        <v>1</v>
      </c>
      <c r="E67" s="158"/>
      <c r="F67" s="158"/>
      <c r="G67" s="158"/>
      <c r="H67" s="158"/>
      <c r="I67" s="158"/>
      <c r="J67" s="158"/>
      <c r="K67" s="158"/>
      <c r="L67" s="158"/>
      <c r="M67" s="158"/>
    </row>
    <row r="68" spans="1:13" ht="15.5">
      <c r="A68" s="153"/>
      <c r="B68" s="153"/>
      <c r="C68" s="153"/>
      <c r="D68" s="358"/>
      <c r="E68" s="158"/>
      <c r="F68" s="158"/>
      <c r="G68" s="158"/>
      <c r="H68" s="158"/>
      <c r="I68" s="158"/>
      <c r="J68" s="158"/>
      <c r="K68" s="158"/>
      <c r="L68" s="158"/>
      <c r="M68" s="158"/>
    </row>
    <row r="69" spans="1:13" ht="27" customHeight="1">
      <c r="A69" s="359"/>
      <c r="B69" s="801" t="s">
        <v>491</v>
      </c>
      <c r="C69" s="802"/>
      <c r="D69" s="801" t="s">
        <v>492</v>
      </c>
      <c r="E69" s="802"/>
      <c r="F69" s="746" t="s">
        <v>488</v>
      </c>
      <c r="G69" s="747"/>
      <c r="H69" s="746" t="s">
        <v>489</v>
      </c>
      <c r="I69" s="747"/>
      <c r="J69" s="160" t="s">
        <v>561</v>
      </c>
      <c r="K69" s="160" t="s">
        <v>562</v>
      </c>
      <c r="L69" s="799" t="s">
        <v>490</v>
      </c>
      <c r="M69" s="800"/>
    </row>
    <row r="70" spans="1:13" ht="15.5">
      <c r="A70" s="153"/>
      <c r="B70" s="360" t="s">
        <v>233</v>
      </c>
      <c r="C70" s="360" t="s">
        <v>388</v>
      </c>
      <c r="D70" s="360" t="s">
        <v>233</v>
      </c>
      <c r="E70" s="360" t="s">
        <v>388</v>
      </c>
      <c r="F70" s="361" t="s">
        <v>233</v>
      </c>
      <c r="G70" s="361" t="s">
        <v>32</v>
      </c>
      <c r="H70" s="361" t="s">
        <v>233</v>
      </c>
      <c r="I70" s="360" t="s">
        <v>32</v>
      </c>
      <c r="J70" s="360" t="s">
        <v>233</v>
      </c>
      <c r="K70" s="360" t="s">
        <v>32</v>
      </c>
      <c r="L70" s="360" t="s">
        <v>233</v>
      </c>
      <c r="M70" s="360" t="s">
        <v>32</v>
      </c>
    </row>
    <row r="71" spans="1:13" ht="15.5">
      <c r="A71" s="301" t="s">
        <v>484</v>
      </c>
      <c r="B71" s="362">
        <f>B59*B67</f>
        <v>83751.75</v>
      </c>
      <c r="C71" s="362">
        <f>B71/E2</f>
        <v>761.37954545454545</v>
      </c>
      <c r="D71" s="362">
        <f>B59*C67</f>
        <v>102363.25000000001</v>
      </c>
      <c r="E71" s="362">
        <f>D71/E2</f>
        <v>930.57500000000016</v>
      </c>
      <c r="F71" s="362">
        <f>B71/B66</f>
        <v>1522.7590909090909</v>
      </c>
      <c r="G71" s="362">
        <f>F71/E2</f>
        <v>13.843264462809918</v>
      </c>
      <c r="H71" s="362">
        <f>D71/C66</f>
        <v>1505.3419117647061</v>
      </c>
      <c r="I71" s="362">
        <f>H71/E2</f>
        <v>13.684926470588238</v>
      </c>
      <c r="J71" s="200">
        <f>SUM(B71+D71)</f>
        <v>186115</v>
      </c>
      <c r="K71" s="200">
        <f>J71/E2</f>
        <v>1691.9545454545455</v>
      </c>
      <c r="L71" s="200">
        <f>SUM(F71+H71)</f>
        <v>3028.1010026737968</v>
      </c>
      <c r="M71" s="200">
        <f>L71/E2</f>
        <v>27.528190933398154</v>
      </c>
    </row>
    <row r="72" spans="1:13" ht="15.5">
      <c r="A72" s="301" t="s">
        <v>485</v>
      </c>
      <c r="B72" s="362">
        <f>B60*B67</f>
        <v>2965.5</v>
      </c>
      <c r="C72" s="362">
        <f>B72/E2</f>
        <v>26.959090909090911</v>
      </c>
      <c r="D72" s="362">
        <f>B60*C67</f>
        <v>3624.5000000000005</v>
      </c>
      <c r="E72" s="362">
        <f>D72/E2</f>
        <v>32.950000000000003</v>
      </c>
      <c r="F72" s="362">
        <f>B72/B66</f>
        <v>53.918181818181822</v>
      </c>
      <c r="G72" s="362">
        <f>F72/E2</f>
        <v>0.4901652892561984</v>
      </c>
      <c r="H72" s="362">
        <f>D72/C66</f>
        <v>53.301470588235304</v>
      </c>
      <c r="I72" s="362">
        <f>H72/E2</f>
        <v>0.48455882352941188</v>
      </c>
      <c r="J72" s="200">
        <f t="shared" ref="J72:J74" si="4">SUM(B72+D72)</f>
        <v>6590</v>
      </c>
      <c r="K72" s="200">
        <f>J72/E2</f>
        <v>59.909090909090907</v>
      </c>
      <c r="L72" s="200">
        <f>SUM(F72+H72)</f>
        <v>107.21965240641713</v>
      </c>
      <c r="M72" s="200">
        <f>L72/E2</f>
        <v>0.97472411278561022</v>
      </c>
    </row>
    <row r="73" spans="1:13" ht="15.5">
      <c r="A73" s="301" t="s">
        <v>486</v>
      </c>
      <c r="B73" s="362">
        <f>B61*B67</f>
        <v>21291.642</v>
      </c>
      <c r="C73" s="362">
        <f>B73/E2</f>
        <v>193.56038181818181</v>
      </c>
      <c r="D73" s="362">
        <f>B61*C67</f>
        <v>26023.118000000002</v>
      </c>
      <c r="E73" s="362">
        <f>D73/E2</f>
        <v>236.57380000000003</v>
      </c>
      <c r="F73" s="362">
        <f>B73/B66</f>
        <v>387.12076363636362</v>
      </c>
      <c r="G73" s="362">
        <f>F73/E2</f>
        <v>3.5192796694214876</v>
      </c>
      <c r="H73" s="362">
        <f>D73/C66</f>
        <v>382.69291176470591</v>
      </c>
      <c r="I73" s="362">
        <f>H73/E2</f>
        <v>3.4790264705882357</v>
      </c>
      <c r="J73" s="200">
        <f t="shared" si="4"/>
        <v>47314.76</v>
      </c>
      <c r="K73" s="200">
        <f>J73/E2</f>
        <v>430.13418181818184</v>
      </c>
      <c r="L73" s="200">
        <f>SUM(F73+H73)</f>
        <v>769.81367540106953</v>
      </c>
      <c r="M73" s="200">
        <f>L73/E2</f>
        <v>6.9983061400097233</v>
      </c>
    </row>
    <row r="74" spans="1:13" ht="15.5">
      <c r="A74" s="301" t="s">
        <v>487</v>
      </c>
      <c r="B74" s="362">
        <f>B62*B67</f>
        <v>395587.8</v>
      </c>
      <c r="C74" s="362">
        <f>B74/E2</f>
        <v>3596.252727272727</v>
      </c>
      <c r="D74" s="362">
        <f>B62*C67</f>
        <v>483496.2</v>
      </c>
      <c r="E74" s="362">
        <f>D74/E2</f>
        <v>4395.42</v>
      </c>
      <c r="F74" s="362">
        <f>B74/B66</f>
        <v>7192.5054545454541</v>
      </c>
      <c r="G74" s="362">
        <f>F74/E2</f>
        <v>65.386413223140494</v>
      </c>
      <c r="H74" s="362">
        <f>D74/C66</f>
        <v>7110.2382352941177</v>
      </c>
      <c r="I74" s="362">
        <f>H74/E2</f>
        <v>64.638529411764708</v>
      </c>
      <c r="J74" s="200">
        <f t="shared" si="4"/>
        <v>879084</v>
      </c>
      <c r="K74" s="200">
        <f>J74/E2</f>
        <v>7991.6727272727276</v>
      </c>
      <c r="L74" s="200">
        <f>SUM(F74+H74)</f>
        <v>14302.743689839572</v>
      </c>
      <c r="M74" s="200">
        <f>L74/E2</f>
        <v>130.02494263490519</v>
      </c>
    </row>
    <row r="75" spans="1:13" ht="16.5" customHeight="1">
      <c r="A75" s="301" t="s">
        <v>383</v>
      </c>
      <c r="B75" s="363">
        <f t="shared" ref="B75:C75" si="5">SUM(B71:B74)</f>
        <v>503596.69199999998</v>
      </c>
      <c r="C75" s="363">
        <f t="shared" si="5"/>
        <v>4578.1517454545456</v>
      </c>
      <c r="D75" s="363">
        <f t="shared" ref="D75:E75" si="6">SUM(D71:D74)</f>
        <v>615507.06799999997</v>
      </c>
      <c r="E75" s="363">
        <f t="shared" si="6"/>
        <v>5595.5187999999998</v>
      </c>
      <c r="F75" s="363">
        <f t="shared" ref="F75:M75" si="7">SUM(F71:F74)</f>
        <v>9156.3034909090911</v>
      </c>
      <c r="G75" s="363">
        <f t="shared" si="7"/>
        <v>83.239122644628097</v>
      </c>
      <c r="H75" s="363">
        <f t="shared" si="7"/>
        <v>9051.574529411766</v>
      </c>
      <c r="I75" s="363">
        <f t="shared" si="7"/>
        <v>82.287041176470595</v>
      </c>
      <c r="J75" s="363">
        <f t="shared" si="7"/>
        <v>1119103.76</v>
      </c>
      <c r="K75" s="363">
        <f t="shared" si="7"/>
        <v>10173.670545454546</v>
      </c>
      <c r="L75" s="363">
        <f t="shared" si="7"/>
        <v>18207.878020320855</v>
      </c>
      <c r="M75" s="363">
        <f t="shared" si="7"/>
        <v>165.52616382109866</v>
      </c>
    </row>
  </sheetData>
  <mergeCells count="6">
    <mergeCell ref="F6:H6"/>
    <mergeCell ref="F69:G69"/>
    <mergeCell ref="H69:I69"/>
    <mergeCell ref="L69:M69"/>
    <mergeCell ref="B69:C69"/>
    <mergeCell ref="D69:E6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election activeCell="D16" sqref="D16"/>
    </sheetView>
  </sheetViews>
  <sheetFormatPr defaultColWidth="11.453125" defaultRowHeight="14.5"/>
  <cols>
    <col min="1" max="1" width="52.6328125" customWidth="1"/>
    <col min="2" max="2" width="23.36328125" customWidth="1"/>
  </cols>
  <sheetData>
    <row r="1" spans="1:2">
      <c r="A1" s="101" t="s">
        <v>374</v>
      </c>
      <c r="B1" s="101" t="s">
        <v>395</v>
      </c>
    </row>
    <row r="2" spans="1:2">
      <c r="A2" s="717" t="s">
        <v>154</v>
      </c>
      <c r="B2" s="719" t="s">
        <v>155</v>
      </c>
    </row>
    <row r="3" spans="1:2">
      <c r="A3" s="718"/>
      <c r="B3" s="719"/>
    </row>
    <row r="4" spans="1:2">
      <c r="A4" s="720" t="s">
        <v>132</v>
      </c>
      <c r="B4" s="721"/>
    </row>
    <row r="5" spans="1:2">
      <c r="A5" s="88" t="s">
        <v>156</v>
      </c>
      <c r="B5" s="88" t="s">
        <v>228</v>
      </c>
    </row>
    <row r="6" spans="1:2">
      <c r="A6" s="88" t="s">
        <v>21</v>
      </c>
      <c r="B6" s="88" t="s">
        <v>230</v>
      </c>
    </row>
    <row r="7" spans="1:2">
      <c r="A7" s="102" t="s">
        <v>136</v>
      </c>
      <c r="B7" s="88" t="s">
        <v>229</v>
      </c>
    </row>
    <row r="8" spans="1:2">
      <c r="A8" s="103"/>
      <c r="B8" s="88"/>
    </row>
    <row r="9" spans="1:2">
      <c r="A9" s="720" t="s">
        <v>1</v>
      </c>
      <c r="B9" s="721"/>
    </row>
    <row r="10" spans="1:2">
      <c r="A10" s="104" t="s">
        <v>285</v>
      </c>
      <c r="B10" s="104" t="s">
        <v>231</v>
      </c>
    </row>
    <row r="11" spans="1:2">
      <c r="A11" s="87" t="s">
        <v>264</v>
      </c>
      <c r="B11" s="88" t="s">
        <v>262</v>
      </c>
    </row>
    <row r="12" spans="1:2">
      <c r="A12" s="88" t="s">
        <v>133</v>
      </c>
      <c r="B12" s="88" t="s">
        <v>286</v>
      </c>
    </row>
    <row r="13" spans="1:2">
      <c r="A13" s="88" t="s">
        <v>134</v>
      </c>
      <c r="B13" s="88" t="s">
        <v>286</v>
      </c>
    </row>
    <row r="14" spans="1:2">
      <c r="A14" s="88" t="s">
        <v>263</v>
      </c>
      <c r="B14" s="88" t="s">
        <v>286</v>
      </c>
    </row>
    <row r="15" spans="1:2">
      <c r="A15" s="87" t="s">
        <v>265</v>
      </c>
      <c r="B15" s="88" t="s">
        <v>286</v>
      </c>
    </row>
    <row r="16" spans="1:2">
      <c r="A16" s="88" t="s">
        <v>261</v>
      </c>
      <c r="B16" s="88" t="s">
        <v>324</v>
      </c>
    </row>
  </sheetData>
  <mergeCells count="4">
    <mergeCell ref="A2:A3"/>
    <mergeCell ref="B2:B3"/>
    <mergeCell ref="A4:B4"/>
    <mergeCell ref="A9:B9"/>
  </mergeCells>
  <phoneticPr fontId="2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topLeftCell="A13" workbookViewId="0">
      <selection activeCell="C38" sqref="C38"/>
    </sheetView>
  </sheetViews>
  <sheetFormatPr defaultRowHeight="14.5"/>
  <cols>
    <col min="1" max="1" width="59.36328125" customWidth="1"/>
    <col min="2" max="2" width="19.6328125" customWidth="1"/>
    <col min="3" max="3" width="12.26953125" customWidth="1"/>
  </cols>
  <sheetData>
    <row r="1" spans="1:5">
      <c r="A1" s="101" t="s">
        <v>374</v>
      </c>
      <c r="B1" s="101" t="s">
        <v>234</v>
      </c>
      <c r="C1" s="101" t="s">
        <v>232</v>
      </c>
    </row>
    <row r="2" spans="1:5">
      <c r="A2" s="87"/>
      <c r="B2" s="87"/>
      <c r="C2" s="87"/>
    </row>
    <row r="3" spans="1:5">
      <c r="A3" s="90" t="s">
        <v>97</v>
      </c>
      <c r="B3" s="115" t="s">
        <v>98</v>
      </c>
      <c r="C3" s="115" t="s">
        <v>99</v>
      </c>
      <c r="D3" s="44"/>
      <c r="E3" s="44"/>
    </row>
    <row r="4" spans="1:5" ht="42.5">
      <c r="A4" s="89" t="s">
        <v>100</v>
      </c>
      <c r="B4" s="91" t="s">
        <v>114</v>
      </c>
      <c r="C4" s="87" t="s">
        <v>227</v>
      </c>
    </row>
    <row r="5" spans="1:5" ht="28.5">
      <c r="A5" s="89" t="s">
        <v>101</v>
      </c>
      <c r="B5" s="91" t="s">
        <v>186</v>
      </c>
      <c r="C5" s="87" t="s">
        <v>227</v>
      </c>
    </row>
    <row r="6" spans="1:5" ht="23.25" customHeight="1">
      <c r="A6" s="89" t="s">
        <v>115</v>
      </c>
      <c r="B6" s="91" t="s">
        <v>114</v>
      </c>
      <c r="C6" s="87" t="s">
        <v>227</v>
      </c>
    </row>
    <row r="7" spans="1:5" ht="27" customHeight="1">
      <c r="A7" s="89" t="s">
        <v>116</v>
      </c>
      <c r="B7" s="91" t="s">
        <v>190</v>
      </c>
      <c r="C7" s="87" t="s">
        <v>227</v>
      </c>
    </row>
    <row r="8" spans="1:5">
      <c r="A8" s="89" t="s">
        <v>117</v>
      </c>
      <c r="B8" s="91" t="s">
        <v>114</v>
      </c>
      <c r="C8" s="87" t="s">
        <v>227</v>
      </c>
    </row>
    <row r="9" spans="1:5" ht="28.5">
      <c r="A9" s="89" t="s">
        <v>118</v>
      </c>
      <c r="B9" s="91" t="s">
        <v>190</v>
      </c>
      <c r="C9" s="87" t="s">
        <v>227</v>
      </c>
    </row>
    <row r="10" spans="1:5">
      <c r="A10" s="89" t="s">
        <v>119</v>
      </c>
      <c r="B10" s="91" t="s">
        <v>189</v>
      </c>
      <c r="C10" s="87" t="s">
        <v>227</v>
      </c>
    </row>
    <row r="11" spans="1:5">
      <c r="A11" s="89" t="s">
        <v>120</v>
      </c>
      <c r="B11" s="91" t="s">
        <v>201</v>
      </c>
      <c r="C11" s="87" t="s">
        <v>227</v>
      </c>
    </row>
    <row r="12" spans="1:5">
      <c r="A12" s="89" t="s">
        <v>121</v>
      </c>
      <c r="B12" s="91" t="s">
        <v>190</v>
      </c>
      <c r="C12" s="87" t="s">
        <v>227</v>
      </c>
    </row>
    <row r="13" spans="1:5">
      <c r="A13" s="89" t="s">
        <v>122</v>
      </c>
      <c r="B13" s="91" t="s">
        <v>190</v>
      </c>
      <c r="C13" s="87" t="s">
        <v>227</v>
      </c>
    </row>
    <row r="14" spans="1:5">
      <c r="A14" s="89" t="s">
        <v>123</v>
      </c>
      <c r="B14" s="91" t="s">
        <v>190</v>
      </c>
      <c r="C14" s="87" t="s">
        <v>227</v>
      </c>
    </row>
    <row r="15" spans="1:5">
      <c r="A15" s="89" t="s">
        <v>124</v>
      </c>
      <c r="B15" s="91" t="s">
        <v>190</v>
      </c>
      <c r="C15" s="87" t="s">
        <v>227</v>
      </c>
    </row>
    <row r="16" spans="1:5">
      <c r="A16" s="89" t="s">
        <v>125</v>
      </c>
      <c r="B16" s="91" t="s">
        <v>190</v>
      </c>
      <c r="C16" s="87" t="s">
        <v>227</v>
      </c>
    </row>
    <row r="17" spans="1:3">
      <c r="A17" s="89" t="s">
        <v>102</v>
      </c>
      <c r="B17" s="91" t="s">
        <v>186</v>
      </c>
      <c r="C17" s="87" t="s">
        <v>227</v>
      </c>
    </row>
    <row r="18" spans="1:3">
      <c r="A18" s="89" t="s">
        <v>126</v>
      </c>
      <c r="B18" s="91" t="s">
        <v>190</v>
      </c>
      <c r="C18" s="87" t="s">
        <v>227</v>
      </c>
    </row>
    <row r="19" spans="1:3">
      <c r="A19" s="89" t="s">
        <v>103</v>
      </c>
      <c r="B19" s="91" t="s">
        <v>190</v>
      </c>
      <c r="C19" s="87" t="s">
        <v>227</v>
      </c>
    </row>
    <row r="20" spans="1:3">
      <c r="A20" s="89" t="s">
        <v>104</v>
      </c>
      <c r="B20" s="91" t="s">
        <v>190</v>
      </c>
      <c r="C20" s="87" t="s">
        <v>227</v>
      </c>
    </row>
    <row r="21" spans="1:3">
      <c r="A21" s="89" t="s">
        <v>127</v>
      </c>
      <c r="B21" s="91" t="s">
        <v>114</v>
      </c>
      <c r="C21" s="87" t="s">
        <v>227</v>
      </c>
    </row>
    <row r="22" spans="1:3">
      <c r="A22" s="89" t="s">
        <v>105</v>
      </c>
      <c r="B22" s="91" t="s">
        <v>114</v>
      </c>
      <c r="C22" s="87" t="s">
        <v>227</v>
      </c>
    </row>
    <row r="23" spans="1:3">
      <c r="A23" s="89" t="s">
        <v>128</v>
      </c>
      <c r="B23" s="91" t="s">
        <v>114</v>
      </c>
      <c r="C23" s="87" t="s">
        <v>227</v>
      </c>
    </row>
    <row r="24" spans="1:3">
      <c r="A24" s="89" t="s">
        <v>106</v>
      </c>
      <c r="B24" s="91" t="s">
        <v>191</v>
      </c>
      <c r="C24" s="87" t="s">
        <v>227</v>
      </c>
    </row>
    <row r="25" spans="1:3">
      <c r="A25" s="89" t="s">
        <v>107</v>
      </c>
      <c r="B25" s="91" t="s">
        <v>191</v>
      </c>
      <c r="C25" s="87" t="s">
        <v>227</v>
      </c>
    </row>
    <row r="26" spans="1:3">
      <c r="A26" s="89" t="s">
        <v>108</v>
      </c>
      <c r="B26" s="91" t="s">
        <v>191</v>
      </c>
      <c r="C26" s="87" t="s">
        <v>227</v>
      </c>
    </row>
    <row r="27" spans="1:3">
      <c r="A27" s="89" t="s">
        <v>109</v>
      </c>
      <c r="B27" s="91" t="s">
        <v>114</v>
      </c>
      <c r="C27" s="87" t="s">
        <v>227</v>
      </c>
    </row>
    <row r="28" spans="1:3" ht="20.25" customHeight="1">
      <c r="A28" s="89" t="s">
        <v>129</v>
      </c>
      <c r="B28" s="91" t="s">
        <v>114</v>
      </c>
      <c r="C28" s="87" t="s">
        <v>227</v>
      </c>
    </row>
    <row r="29" spans="1:3">
      <c r="A29" s="89" t="s">
        <v>130</v>
      </c>
      <c r="B29" s="91" t="s">
        <v>186</v>
      </c>
      <c r="C29" s="87" t="s">
        <v>227</v>
      </c>
    </row>
    <row r="30" spans="1:3">
      <c r="A30" s="89" t="s">
        <v>110</v>
      </c>
      <c r="B30" s="91" t="s">
        <v>114</v>
      </c>
      <c r="C30" s="87" t="s">
        <v>227</v>
      </c>
    </row>
    <row r="31" spans="1:3">
      <c r="A31" s="88" t="s">
        <v>111</v>
      </c>
      <c r="B31" s="91" t="s">
        <v>186</v>
      </c>
      <c r="C31" s="87" t="s">
        <v>227</v>
      </c>
    </row>
    <row r="32" spans="1:3">
      <c r="A32" s="88" t="s">
        <v>112</v>
      </c>
      <c r="B32" s="91" t="s">
        <v>186</v>
      </c>
      <c r="C32" s="87" t="s">
        <v>227</v>
      </c>
    </row>
    <row r="33" spans="1:3">
      <c r="A33" s="87" t="s">
        <v>113</v>
      </c>
      <c r="B33" s="91" t="s">
        <v>202</v>
      </c>
      <c r="C33" s="87" t="s">
        <v>227</v>
      </c>
    </row>
  </sheetData>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S48"/>
  <sheetViews>
    <sheetView workbookViewId="0">
      <selection activeCell="F14" sqref="F14"/>
    </sheetView>
  </sheetViews>
  <sheetFormatPr defaultColWidth="8.81640625" defaultRowHeight="12.5"/>
  <cols>
    <col min="1" max="1" width="47.26953125" style="6" bestFit="1" customWidth="1"/>
    <col min="2" max="2" width="109.453125" style="1" customWidth="1"/>
    <col min="3" max="16384" width="8.81640625" style="1"/>
  </cols>
  <sheetData>
    <row r="1" spans="1:71" ht="14.5" thickBot="1">
      <c r="A1" s="118" t="s">
        <v>374</v>
      </c>
      <c r="B1" s="119" t="s">
        <v>395</v>
      </c>
      <c r="F1" s="100"/>
      <c r="G1" s="100"/>
    </row>
    <row r="2" spans="1:71" ht="16.5" customHeight="1">
      <c r="A2" s="120"/>
      <c r="B2" s="121"/>
    </row>
    <row r="3" spans="1:71" ht="14">
      <c r="A3" s="122" t="s">
        <v>0</v>
      </c>
      <c r="B3" s="123" t="s">
        <v>288</v>
      </c>
      <c r="AH3" s="98"/>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s="2" customFormat="1" ht="25" customHeight="1">
      <c r="A4" s="122" t="s">
        <v>287</v>
      </c>
      <c r="B4" s="123"/>
      <c r="AH4" s="99"/>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row>
    <row r="5" spans="1:71" s="2" customFormat="1" ht="28">
      <c r="A5" s="124" t="s">
        <v>266</v>
      </c>
      <c r="B5" s="125" t="s">
        <v>289</v>
      </c>
      <c r="AH5" s="99"/>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row>
    <row r="6" spans="1:71" s="2" customFormat="1" ht="28">
      <c r="A6" s="124" t="s">
        <v>284</v>
      </c>
      <c r="B6" s="125" t="s">
        <v>291</v>
      </c>
      <c r="AH6" s="99"/>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row>
    <row r="7" spans="1:71" s="2" customFormat="1" ht="14">
      <c r="A7" s="124" t="s">
        <v>21</v>
      </c>
      <c r="B7" s="125" t="s">
        <v>293</v>
      </c>
      <c r="AH7" s="99"/>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row>
    <row r="8" spans="1:71" s="2" customFormat="1" ht="14">
      <c r="A8" s="126" t="s">
        <v>268</v>
      </c>
      <c r="B8" s="125" t="s">
        <v>373</v>
      </c>
      <c r="AH8" s="99"/>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row>
    <row r="9" spans="1:71" s="2" customFormat="1" ht="28">
      <c r="A9" s="127" t="s">
        <v>294</v>
      </c>
      <c r="B9" s="125" t="s">
        <v>301</v>
      </c>
      <c r="AH9" s="99"/>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row>
    <row r="10" spans="1:71" s="2" customFormat="1" ht="14">
      <c r="A10" s="127"/>
      <c r="B10" s="125"/>
      <c r="AH10" s="99"/>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row>
    <row r="11" spans="1:71" s="2" customFormat="1" ht="26.5" customHeight="1">
      <c r="A11" s="122" t="s">
        <v>290</v>
      </c>
      <c r="B11" s="123"/>
      <c r="AH11" s="99"/>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row>
    <row r="12" spans="1:71" ht="28">
      <c r="A12" s="128" t="s">
        <v>268</v>
      </c>
      <c r="B12" s="129" t="s">
        <v>292</v>
      </c>
      <c r="C12" s="3"/>
      <c r="D12" s="3"/>
      <c r="E12" s="3"/>
      <c r="F12" s="3"/>
      <c r="G12" s="3"/>
      <c r="H12" s="3"/>
      <c r="AH12" s="98"/>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4">
      <c r="A13" s="130" t="s">
        <v>295</v>
      </c>
      <c r="B13" s="131" t="s">
        <v>297</v>
      </c>
    </row>
    <row r="14" spans="1:71" ht="28">
      <c r="A14" s="130" t="s">
        <v>296</v>
      </c>
      <c r="B14" s="132" t="s">
        <v>298</v>
      </c>
    </row>
    <row r="15" spans="1:71" ht="56.5" customHeight="1">
      <c r="A15" s="130" t="s">
        <v>134</v>
      </c>
      <c r="B15" s="133" t="s">
        <v>300</v>
      </c>
    </row>
    <row r="16" spans="1:71" ht="14">
      <c r="A16" s="130" t="s">
        <v>135</v>
      </c>
      <c r="B16" s="131" t="s">
        <v>299</v>
      </c>
    </row>
    <row r="17" spans="1:8" ht="14">
      <c r="A17" s="130" t="s">
        <v>302</v>
      </c>
      <c r="B17" s="131" t="s">
        <v>303</v>
      </c>
    </row>
    <row r="18" spans="1:8" ht="13">
      <c r="A18" s="93"/>
      <c r="B18" s="3"/>
      <c r="C18" s="3"/>
      <c r="D18" s="3"/>
      <c r="E18" s="3"/>
      <c r="F18" s="3"/>
      <c r="G18" s="3"/>
      <c r="H18" s="3"/>
    </row>
    <row r="19" spans="1:8">
      <c r="A19" s="94"/>
      <c r="B19" s="4"/>
      <c r="C19" s="4"/>
      <c r="D19" s="4"/>
      <c r="E19" s="4"/>
      <c r="F19" s="4"/>
      <c r="G19" s="4"/>
      <c r="H19" s="4"/>
    </row>
    <row r="20" spans="1:8">
      <c r="A20" s="95"/>
      <c r="B20" s="4"/>
    </row>
    <row r="21" spans="1:8" ht="13">
      <c r="A21" s="96"/>
      <c r="B21" s="3"/>
      <c r="C21" s="3"/>
      <c r="D21" s="3"/>
      <c r="E21" s="3"/>
      <c r="F21" s="3"/>
      <c r="G21" s="3"/>
      <c r="H21" s="3"/>
    </row>
    <row r="22" spans="1:8">
      <c r="A22" s="94"/>
      <c r="B22" s="4"/>
    </row>
    <row r="23" spans="1:8">
      <c r="A23" s="94"/>
      <c r="B23" s="4"/>
    </row>
    <row r="24" spans="1:8" ht="13">
      <c r="A24" s="96"/>
      <c r="B24" s="3"/>
      <c r="C24" s="3"/>
      <c r="D24" s="3"/>
      <c r="E24" s="3"/>
      <c r="F24" s="3"/>
      <c r="G24" s="3"/>
      <c r="H24" s="3"/>
    </row>
    <row r="25" spans="1:8">
      <c r="A25" s="94"/>
      <c r="B25" s="4"/>
    </row>
    <row r="26" spans="1:8">
      <c r="A26" s="94"/>
      <c r="B26" s="4"/>
    </row>
    <row r="27" spans="1:8">
      <c r="A27" s="94"/>
      <c r="B27" s="4"/>
    </row>
    <row r="28" spans="1:8" ht="13">
      <c r="A28" s="96"/>
      <c r="B28" s="3"/>
      <c r="C28" s="3"/>
      <c r="D28" s="3"/>
      <c r="E28" s="3"/>
      <c r="F28" s="3"/>
      <c r="G28" s="3"/>
      <c r="H28" s="3"/>
    </row>
    <row r="29" spans="1:8" ht="13">
      <c r="A29" s="96"/>
      <c r="B29" s="3"/>
      <c r="C29" s="3"/>
      <c r="D29" s="3"/>
      <c r="E29" s="3"/>
      <c r="F29" s="3"/>
      <c r="G29" s="3"/>
      <c r="H29" s="3"/>
    </row>
    <row r="30" spans="1:8">
      <c r="A30" s="94"/>
      <c r="B30" s="4"/>
    </row>
    <row r="31" spans="1:8">
      <c r="A31" s="95"/>
      <c r="B31" s="4"/>
    </row>
    <row r="32" spans="1:8">
      <c r="A32" s="94"/>
      <c r="B32" s="4"/>
    </row>
    <row r="33" spans="1:8">
      <c r="A33" s="94"/>
      <c r="B33" s="4"/>
    </row>
    <row r="34" spans="1:8" ht="13">
      <c r="A34" s="96"/>
      <c r="B34" s="3"/>
      <c r="C34" s="3"/>
      <c r="D34" s="3"/>
      <c r="E34" s="3"/>
      <c r="F34" s="3"/>
      <c r="G34" s="3"/>
      <c r="H34" s="3"/>
    </row>
    <row r="35" spans="1:8">
      <c r="A35" s="94"/>
    </row>
    <row r="36" spans="1:8">
      <c r="A36" s="94"/>
    </row>
    <row r="37" spans="1:8">
      <c r="A37" s="94"/>
    </row>
    <row r="38" spans="1:8" ht="13">
      <c r="A38" s="96"/>
      <c r="B38" s="3"/>
      <c r="C38" s="3"/>
      <c r="D38" s="3"/>
      <c r="E38" s="3"/>
      <c r="F38" s="3"/>
      <c r="G38" s="3"/>
      <c r="H38" s="3"/>
    </row>
    <row r="39" spans="1:8">
      <c r="A39" s="97"/>
    </row>
    <row r="40" spans="1:8">
      <c r="A40" s="97"/>
    </row>
    <row r="41" spans="1:8">
      <c r="A41" s="97"/>
    </row>
    <row r="42" spans="1:8" ht="13">
      <c r="A42" s="96"/>
    </row>
    <row r="43" spans="1:8">
      <c r="A43" s="97"/>
    </row>
    <row r="44" spans="1:8">
      <c r="A44" s="94"/>
    </row>
    <row r="45" spans="1:8">
      <c r="A45" s="94"/>
    </row>
    <row r="46" spans="1:8">
      <c r="A46" s="94"/>
    </row>
    <row r="47" spans="1:8">
      <c r="A47" s="722"/>
      <c r="B47" s="722"/>
    </row>
    <row r="48" spans="1:8">
      <c r="A48" s="722"/>
      <c r="B48" s="722"/>
    </row>
  </sheetData>
  <mergeCells count="2">
    <mergeCell ref="A47:B47"/>
    <mergeCell ref="A48:B48"/>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43"/>
  <sheetViews>
    <sheetView tabSelected="1" topLeftCell="N123" zoomScale="82" zoomScaleNormal="82" workbookViewId="0">
      <selection activeCell="T72" sqref="T72"/>
    </sheetView>
  </sheetViews>
  <sheetFormatPr defaultColWidth="8.7265625" defaultRowHeight="14.5"/>
  <cols>
    <col min="1" max="1" width="45" style="45" customWidth="1"/>
    <col min="2" max="4" width="8.7265625" hidden="1" customWidth="1"/>
    <col min="5" max="5" width="16" hidden="1" customWidth="1"/>
    <col min="6" max="6" width="15.81640625" customWidth="1"/>
    <col min="7" max="7" width="17.08984375" customWidth="1"/>
    <col min="8" max="9" width="8.7265625" hidden="1" customWidth="1"/>
    <col min="10" max="10" width="0.1796875" hidden="1" customWidth="1"/>
    <col min="11" max="11" width="19.81640625" customWidth="1"/>
    <col min="12" max="12" width="18.7265625" customWidth="1"/>
    <col min="13" max="13" width="15.1796875" customWidth="1"/>
    <col min="14" max="14" width="37.1796875" customWidth="1"/>
    <col min="15" max="15" width="15" customWidth="1"/>
    <col min="16" max="16" width="17.36328125" customWidth="1"/>
    <col min="17" max="18" width="0" hidden="1" customWidth="1"/>
    <col min="19" max="19" width="3.1796875" hidden="1" customWidth="1"/>
    <col min="20" max="20" width="40.453125" bestFit="1" customWidth="1"/>
    <col min="21" max="21" width="22.90625" customWidth="1"/>
    <col min="22" max="22" width="30" customWidth="1"/>
    <col min="23" max="23" width="17.36328125" customWidth="1"/>
    <col min="24" max="24" width="17.1796875" customWidth="1"/>
  </cols>
  <sheetData>
    <row r="1" spans="1:24" ht="15.5">
      <c r="A1" s="192" t="s">
        <v>374</v>
      </c>
      <c r="B1" s="154"/>
      <c r="C1" s="154"/>
      <c r="D1" s="154"/>
      <c r="E1" s="154"/>
      <c r="F1" s="203" t="s">
        <v>234</v>
      </c>
      <c r="G1" s="203" t="s">
        <v>232</v>
      </c>
      <c r="H1" s="203"/>
      <c r="I1" s="203"/>
      <c r="J1" s="203"/>
      <c r="K1" s="203"/>
      <c r="L1" s="203"/>
      <c r="M1" s="203"/>
      <c r="N1" s="203"/>
      <c r="O1" s="203" t="s">
        <v>32</v>
      </c>
      <c r="P1" s="203" t="s">
        <v>233</v>
      </c>
      <c r="Q1" s="154"/>
      <c r="R1" s="154"/>
      <c r="S1" s="154"/>
      <c r="T1" s="203" t="s">
        <v>576</v>
      </c>
      <c r="U1" s="203" t="s">
        <v>10</v>
      </c>
      <c r="V1" s="203" t="s">
        <v>307</v>
      </c>
    </row>
    <row r="2" spans="1:24" ht="15.5">
      <c r="A2" s="192"/>
      <c r="B2" s="154"/>
      <c r="C2" s="154"/>
      <c r="D2" s="154"/>
      <c r="E2" s="154"/>
      <c r="F2" s="203"/>
      <c r="G2" s="203"/>
      <c r="H2" s="203"/>
      <c r="I2" s="203"/>
      <c r="J2" s="203"/>
      <c r="K2" s="203"/>
      <c r="L2" s="203"/>
      <c r="M2" s="203"/>
      <c r="N2" s="203"/>
      <c r="O2" s="154">
        <v>1</v>
      </c>
      <c r="P2" s="154">
        <v>1</v>
      </c>
      <c r="Q2" s="154"/>
      <c r="R2" s="154"/>
      <c r="S2" s="154"/>
      <c r="T2" s="154">
        <v>123</v>
      </c>
      <c r="U2" s="154">
        <v>55</v>
      </c>
      <c r="V2" s="154">
        <v>68</v>
      </c>
    </row>
    <row r="3" spans="1:24" ht="16" thickBot="1">
      <c r="A3" s="644"/>
      <c r="B3" s="645"/>
      <c r="C3" s="645"/>
      <c r="D3" s="645"/>
      <c r="E3" s="645"/>
      <c r="F3" s="646"/>
      <c r="G3" s="646"/>
      <c r="H3" s="646"/>
      <c r="I3" s="646"/>
      <c r="J3" s="646"/>
      <c r="K3" s="646"/>
      <c r="L3" s="626"/>
      <c r="M3" s="625"/>
      <c r="N3" s="646"/>
      <c r="O3" s="646"/>
      <c r="P3" s="646"/>
      <c r="Q3" s="645"/>
      <c r="R3" s="645"/>
      <c r="S3" s="645"/>
      <c r="T3" s="647"/>
      <c r="V3" s="654" t="s">
        <v>593</v>
      </c>
    </row>
    <row r="4" spans="1:24" ht="15.5" customHeight="1">
      <c r="A4" s="723" t="s">
        <v>591</v>
      </c>
      <c r="B4" s="724"/>
      <c r="C4" s="724"/>
      <c r="D4" s="724"/>
      <c r="E4" s="724"/>
      <c r="F4" s="724"/>
      <c r="G4" s="724"/>
      <c r="H4" s="724"/>
      <c r="I4" s="724"/>
      <c r="J4" s="724"/>
      <c r="K4" s="724"/>
      <c r="L4" s="627"/>
      <c r="M4" s="624"/>
      <c r="N4" s="729" t="s">
        <v>572</v>
      </c>
      <c r="O4" s="730"/>
      <c r="P4" s="730"/>
      <c r="Q4" s="730"/>
      <c r="R4" s="730"/>
      <c r="S4" s="730"/>
      <c r="T4" s="731"/>
      <c r="V4" s="732" t="s">
        <v>594</v>
      </c>
      <c r="W4" s="733"/>
      <c r="X4" s="734"/>
    </row>
    <row r="5" spans="1:24" ht="15.5">
      <c r="A5" s="628"/>
      <c r="B5" s="611"/>
      <c r="C5" s="611"/>
      <c r="D5" s="611"/>
      <c r="E5" s="611"/>
      <c r="F5" s="610" t="s">
        <v>10</v>
      </c>
      <c r="G5" s="610" t="s">
        <v>19</v>
      </c>
      <c r="H5" s="612"/>
      <c r="I5" s="215"/>
      <c r="J5" s="215"/>
      <c r="K5" s="613" t="s">
        <v>358</v>
      </c>
      <c r="L5" s="629" t="s">
        <v>578</v>
      </c>
      <c r="M5" s="624"/>
      <c r="N5" s="628"/>
      <c r="O5" s="613" t="s">
        <v>10</v>
      </c>
      <c r="P5" s="613" t="s">
        <v>19</v>
      </c>
      <c r="Q5" s="614"/>
      <c r="R5" s="615"/>
      <c r="S5" s="615"/>
      <c r="T5" s="691" t="s">
        <v>592</v>
      </c>
      <c r="V5" s="655"/>
      <c r="W5" s="661" t="s">
        <v>32</v>
      </c>
      <c r="X5" s="662" t="s">
        <v>571</v>
      </c>
    </row>
    <row r="6" spans="1:24" ht="16" customHeight="1">
      <c r="A6" s="630" t="s">
        <v>394</v>
      </c>
      <c r="B6" s="725" t="s">
        <v>131</v>
      </c>
      <c r="C6" s="725"/>
      <c r="D6" s="725"/>
      <c r="E6" s="725"/>
      <c r="F6" s="616" t="s">
        <v>32</v>
      </c>
      <c r="G6" s="616" t="s">
        <v>32</v>
      </c>
      <c r="H6" s="616"/>
      <c r="I6" s="616"/>
      <c r="J6" s="616"/>
      <c r="K6" s="616" t="s">
        <v>32</v>
      </c>
      <c r="L6" s="631" t="s">
        <v>577</v>
      </c>
      <c r="M6" s="639"/>
      <c r="N6" s="630" t="s">
        <v>394</v>
      </c>
      <c r="O6" s="616" t="s">
        <v>32</v>
      </c>
      <c r="P6" s="616" t="s">
        <v>32</v>
      </c>
      <c r="Q6" s="616"/>
      <c r="R6" s="616"/>
      <c r="S6" s="616"/>
      <c r="T6" s="643" t="s">
        <v>32</v>
      </c>
      <c r="V6" s="657" t="s">
        <v>269</v>
      </c>
      <c r="W6" s="658">
        <v>905.77</v>
      </c>
      <c r="X6" s="656">
        <v>1.8410498731078973E-2</v>
      </c>
    </row>
    <row r="7" spans="1:24" ht="15.5">
      <c r="A7" s="632" t="s">
        <v>269</v>
      </c>
      <c r="B7" s="190" t="s">
        <v>2</v>
      </c>
      <c r="C7" s="225"/>
      <c r="D7" s="225"/>
      <c r="E7" s="190"/>
      <c r="F7" s="589">
        <f>Microplanning!C47</f>
        <v>436.04866174965002</v>
      </c>
      <c r="G7" s="585">
        <f>Microplanning!C48</f>
        <v>469.72273876433837</v>
      </c>
      <c r="H7" s="726"/>
      <c r="I7" s="726"/>
      <c r="J7" s="727"/>
      <c r="K7" s="585">
        <f>SUM(F7:G7)</f>
        <v>905.7714005139884</v>
      </c>
      <c r="L7" s="668">
        <f>K7/K20</f>
        <v>1.8486577669372724E-2</v>
      </c>
      <c r="M7" s="640"/>
      <c r="N7" s="632" t="s">
        <v>269</v>
      </c>
      <c r="O7" s="622">
        <f>F7/U2</f>
        <v>7.9281574863572732</v>
      </c>
      <c r="P7" s="622">
        <f>G7/V2</f>
        <v>6.9076873347696823</v>
      </c>
      <c r="Q7" s="726"/>
      <c r="R7" s="726"/>
      <c r="S7" s="735"/>
      <c r="T7" s="648">
        <f>K7/T2</f>
        <v>7.3639951261299865</v>
      </c>
      <c r="V7" s="657" t="s">
        <v>438</v>
      </c>
      <c r="W7" s="658">
        <v>95.8</v>
      </c>
      <c r="X7" s="656">
        <v>1.9471463779965666E-3</v>
      </c>
    </row>
    <row r="8" spans="1:24" ht="15" customHeight="1">
      <c r="A8" s="632" t="s">
        <v>438</v>
      </c>
      <c r="B8" s="190" t="s">
        <v>2</v>
      </c>
      <c r="C8" s="225"/>
      <c r="D8" s="225"/>
      <c r="E8" s="190"/>
      <c r="F8" s="589">
        <f>'In-Person Initial Training'!C55</f>
        <v>80.739015064457504</v>
      </c>
      <c r="G8" s="585">
        <f>'In-Person Initial Training'!C56</f>
        <v>15.057928166983555</v>
      </c>
      <c r="H8" s="726"/>
      <c r="I8" s="726"/>
      <c r="J8" s="727"/>
      <c r="K8" s="585">
        <f t="shared" ref="K8:K10" si="0">SUM(F8:G8)</f>
        <v>95.796943231441062</v>
      </c>
      <c r="L8" s="668">
        <f>K8/K20</f>
        <v>1.9551927015266529E-3</v>
      </c>
      <c r="M8" s="640"/>
      <c r="N8" s="632" t="s">
        <v>438</v>
      </c>
      <c r="O8" s="622">
        <f>F8/U2</f>
        <v>1.4679820920810456</v>
      </c>
      <c r="P8" s="622">
        <f>G8/V2</f>
        <v>0.22144012010269934</v>
      </c>
      <c r="Q8" s="726"/>
      <c r="R8" s="726"/>
      <c r="S8" s="735"/>
      <c r="T8" s="648">
        <f>K8/T2</f>
        <v>0.77883693684098421</v>
      </c>
      <c r="V8" s="657" t="s">
        <v>437</v>
      </c>
      <c r="W8" s="658">
        <v>63.64</v>
      </c>
      <c r="X8" s="656">
        <v>1.2935587825851317E-3</v>
      </c>
    </row>
    <row r="9" spans="1:24" ht="14" customHeight="1">
      <c r="A9" s="632" t="s">
        <v>437</v>
      </c>
      <c r="B9" s="190" t="s">
        <v>2</v>
      </c>
      <c r="C9" s="225"/>
      <c r="D9" s="225"/>
      <c r="E9" s="190"/>
      <c r="F9" s="589">
        <f>'Online Refresher Training '!C53</f>
        <v>52.156244123607955</v>
      </c>
      <c r="G9" s="585">
        <f>'Online Refresher Training '!C54</f>
        <v>11.485081799377364</v>
      </c>
      <c r="H9" s="726"/>
      <c r="I9" s="726"/>
      <c r="J9" s="727"/>
      <c r="K9" s="585">
        <f t="shared" si="0"/>
        <v>63.641325922985317</v>
      </c>
      <c r="L9" s="668">
        <f>K9/K20</f>
        <v>1.2989042422729511E-3</v>
      </c>
      <c r="M9" s="640"/>
      <c r="N9" s="632" t="s">
        <v>437</v>
      </c>
      <c r="O9" s="622">
        <f>F9/U2</f>
        <v>0.94829534770196278</v>
      </c>
      <c r="P9" s="622">
        <f>G9/V2</f>
        <v>0.16889826175554945</v>
      </c>
      <c r="Q9" s="726"/>
      <c r="R9" s="726"/>
      <c r="S9" s="735"/>
      <c r="T9" s="648">
        <f>K9/T2</f>
        <v>0.51740915384540909</v>
      </c>
      <c r="V9" s="657" t="s">
        <v>133</v>
      </c>
      <c r="W9" s="658">
        <v>1330.55</v>
      </c>
      <c r="X9" s="656">
        <v>3.1159805814132639E-2</v>
      </c>
    </row>
    <row r="10" spans="1:24" ht="15.5">
      <c r="A10" s="632" t="s">
        <v>133</v>
      </c>
      <c r="B10" s="190"/>
      <c r="C10" s="225"/>
      <c r="D10" s="225"/>
      <c r="E10" s="190"/>
      <c r="F10" s="589">
        <f>'Equip, Trans,OVHD'!C74</f>
        <v>635.35305398348942</v>
      </c>
      <c r="G10" s="585">
        <f>'Equip, Trans,OVHD'!E74</f>
        <v>695.19671190096869</v>
      </c>
      <c r="H10" s="726"/>
      <c r="I10" s="726"/>
      <c r="J10" s="727"/>
      <c r="K10" s="585">
        <f t="shared" si="0"/>
        <v>1330.5497658844581</v>
      </c>
      <c r="L10" s="668">
        <f>K10/K20</f>
        <v>2.7156202520890765E-2</v>
      </c>
      <c r="M10" s="640"/>
      <c r="N10" s="632" t="s">
        <v>133</v>
      </c>
      <c r="O10" s="622">
        <f>F10/U2</f>
        <v>11.551873708790717</v>
      </c>
      <c r="P10" s="622">
        <f>G10/V2</f>
        <v>10.223481057367186</v>
      </c>
      <c r="Q10" s="726"/>
      <c r="R10" s="726"/>
      <c r="S10" s="735"/>
      <c r="T10" s="648">
        <f>K10/T2</f>
        <v>10.817477771418359</v>
      </c>
      <c r="V10" s="657" t="s">
        <v>134</v>
      </c>
      <c r="W10" s="658">
        <v>190.77</v>
      </c>
      <c r="X10" s="656">
        <v>3.8775825293077583E-3</v>
      </c>
    </row>
    <row r="11" spans="1:24" s="44" customFormat="1" ht="16.5" customHeight="1">
      <c r="A11" s="633" t="s">
        <v>573</v>
      </c>
      <c r="B11" s="728"/>
      <c r="C11" s="728"/>
      <c r="D11" s="728"/>
      <c r="E11" s="728"/>
      <c r="F11" s="617">
        <f>SUM(F7:F10)</f>
        <v>1204.2969749212048</v>
      </c>
      <c r="G11" s="617">
        <f>SUM(G7:G10)</f>
        <v>1191.4624606316679</v>
      </c>
      <c r="H11" s="726"/>
      <c r="I11" s="726"/>
      <c r="J11" s="727"/>
      <c r="K11" s="617">
        <f>SUM(K7:K10)</f>
        <v>2395.7594355528727</v>
      </c>
      <c r="L11" s="668">
        <f>K11/K20</f>
        <v>4.8896877134063085E-2</v>
      </c>
      <c r="M11" s="641"/>
      <c r="N11" s="633" t="s">
        <v>573</v>
      </c>
      <c r="O11" s="622">
        <f>F11/U2</f>
        <v>21.896308634930996</v>
      </c>
      <c r="P11" s="622">
        <f>G11/V2</f>
        <v>17.521506773995117</v>
      </c>
      <c r="Q11" s="726"/>
      <c r="R11" s="726"/>
      <c r="S11" s="735"/>
      <c r="T11" s="650">
        <f>K11/T2</f>
        <v>19.477718988234738</v>
      </c>
      <c r="V11" s="657" t="s">
        <v>135</v>
      </c>
      <c r="W11" s="658">
        <v>104.55</v>
      </c>
      <c r="X11" s="656">
        <v>2.1249665833531035E-3</v>
      </c>
    </row>
    <row r="12" spans="1:24" s="44" customFormat="1" ht="16.5" customHeight="1">
      <c r="A12" s="633" t="s">
        <v>393</v>
      </c>
      <c r="B12" s="590"/>
      <c r="C12" s="590"/>
      <c r="D12" s="590"/>
      <c r="E12" s="590"/>
      <c r="F12" s="617"/>
      <c r="G12" s="617"/>
      <c r="H12" s="622"/>
      <c r="I12" s="622"/>
      <c r="J12" s="623"/>
      <c r="K12" s="617"/>
      <c r="L12" s="669"/>
      <c r="M12" s="641"/>
      <c r="N12" s="633" t="s">
        <v>393</v>
      </c>
      <c r="O12" s="622"/>
      <c r="P12" s="622"/>
      <c r="Q12" s="616"/>
      <c r="R12" s="616"/>
      <c r="S12" s="616"/>
      <c r="T12" s="649"/>
      <c r="V12" s="657" t="s">
        <v>271</v>
      </c>
      <c r="W12" s="658">
        <v>295.91000000000003</v>
      </c>
      <c r="X12" s="656">
        <v>6.0146938165647999E-3</v>
      </c>
    </row>
    <row r="13" spans="1:24" ht="15.5">
      <c r="A13" s="632" t="s">
        <v>134</v>
      </c>
      <c r="B13" s="225"/>
      <c r="C13" s="225"/>
      <c r="D13" s="225"/>
      <c r="E13" s="225"/>
      <c r="F13" s="587">
        <f>'Equip, Trans,OVHD'!C77</f>
        <v>63.54545454545454</v>
      </c>
      <c r="G13" s="588">
        <f>'Equip, Trans,OVHD'!E77</f>
        <v>127.22631158006988</v>
      </c>
      <c r="H13" s="588"/>
      <c r="I13" s="588"/>
      <c r="J13" s="588"/>
      <c r="K13" s="585">
        <f t="shared" ref="K13:K18" si="1">SUM(F13:G13)</f>
        <v>190.77176612552441</v>
      </c>
      <c r="L13" s="668">
        <f>K13/K20</f>
        <v>3.8936061235778112E-3</v>
      </c>
      <c r="M13" s="640"/>
      <c r="N13" s="632" t="s">
        <v>134</v>
      </c>
      <c r="O13" s="622">
        <f>F13/U2</f>
        <v>1.1553719008264463</v>
      </c>
      <c r="P13" s="622">
        <f>G13/V2</f>
        <v>1.8709751702951452</v>
      </c>
      <c r="Q13" s="588"/>
      <c r="R13" s="588"/>
      <c r="S13" s="588"/>
      <c r="T13" s="648">
        <f>K13/T2</f>
        <v>1.5509899685001984</v>
      </c>
      <c r="V13" s="692" t="s">
        <v>390</v>
      </c>
      <c r="W13" s="693">
        <v>35835.5</v>
      </c>
      <c r="X13" s="694">
        <v>0.72838408707760616</v>
      </c>
    </row>
    <row r="14" spans="1:24" ht="15.5">
      <c r="A14" s="632" t="s">
        <v>135</v>
      </c>
      <c r="B14" s="225"/>
      <c r="C14" s="225"/>
      <c r="D14" s="225"/>
      <c r="E14" s="225"/>
      <c r="F14" s="588">
        <f>'Equip, Trans,OVHD'!C76</f>
        <v>36.363636363636367</v>
      </c>
      <c r="G14" s="588">
        <f>'Equip, Trans,OVHD'!E76</f>
        <v>68.181818181818187</v>
      </c>
      <c r="H14" s="588"/>
      <c r="I14" s="588"/>
      <c r="J14" s="588"/>
      <c r="K14" s="585">
        <f t="shared" si="1"/>
        <v>104.54545454545456</v>
      </c>
      <c r="L14" s="668">
        <f>K14/K20</f>
        <v>2.1337477252402759E-3</v>
      </c>
      <c r="M14" s="640"/>
      <c r="N14" s="632" t="s">
        <v>135</v>
      </c>
      <c r="O14" s="622">
        <f>F14/U2</f>
        <v>0.66115702479338845</v>
      </c>
      <c r="P14" s="622">
        <f>G14/V2</f>
        <v>1.0026737967914439</v>
      </c>
      <c r="Q14" s="588"/>
      <c r="R14" s="588"/>
      <c r="S14" s="588"/>
      <c r="T14" s="648">
        <f>K14/T2</f>
        <v>0.84996304508499643</v>
      </c>
      <c r="V14" s="695" t="s">
        <v>270</v>
      </c>
      <c r="W14" s="696">
        <v>10173.67</v>
      </c>
      <c r="X14" s="697">
        <v>0.20678766028737489</v>
      </c>
    </row>
    <row r="15" spans="1:24" ht="18" customHeight="1" thickBot="1">
      <c r="A15" s="632" t="s">
        <v>271</v>
      </c>
      <c r="B15" s="225"/>
      <c r="C15" s="225"/>
      <c r="D15" s="225"/>
      <c r="E15" s="225"/>
      <c r="F15" s="588">
        <f>'Equip, Trans,OVHD'!C75</f>
        <v>172.19075657894734</v>
      </c>
      <c r="G15" s="588">
        <f>'Equip, Trans,OVHD'!E75</f>
        <v>123.72396694214876</v>
      </c>
      <c r="H15" s="588"/>
      <c r="I15" s="588"/>
      <c r="J15" s="588"/>
      <c r="K15" s="585">
        <f t="shared" si="1"/>
        <v>295.91472352109611</v>
      </c>
      <c r="L15" s="668">
        <f>K15/K20</f>
        <v>6.0395487390962456E-3</v>
      </c>
      <c r="M15" s="640"/>
      <c r="N15" s="632" t="s">
        <v>271</v>
      </c>
      <c r="O15" s="622">
        <f>F15/U2</f>
        <v>3.1307410287081336</v>
      </c>
      <c r="P15" s="622">
        <f>G15/V2</f>
        <v>1.8194701020904229</v>
      </c>
      <c r="Q15" s="588"/>
      <c r="R15" s="588"/>
      <c r="S15" s="588"/>
      <c r="T15" s="648">
        <f>K15/T2</f>
        <v>2.4058107603341146</v>
      </c>
      <c r="V15" s="698" t="s">
        <v>588</v>
      </c>
      <c r="W15" s="699">
        <f>SUM(W6:W14)</f>
        <v>48996.159999999996</v>
      </c>
      <c r="X15" s="700">
        <f>SUM(X6:X14)</f>
        <v>1</v>
      </c>
    </row>
    <row r="16" spans="1:24" ht="15.5">
      <c r="A16" s="651" t="s">
        <v>390</v>
      </c>
      <c r="B16" s="225"/>
      <c r="C16" s="225"/>
      <c r="D16" s="225"/>
      <c r="E16" s="225"/>
      <c r="F16" s="652">
        <f>'T and M Personnel'!AE50</f>
        <v>15657.994844546234</v>
      </c>
      <c r="G16" s="652">
        <f>'T and M Personnel'!AE57</f>
        <v>20177.507729355017</v>
      </c>
      <c r="H16" s="588"/>
      <c r="I16" s="588"/>
      <c r="J16" s="588"/>
      <c r="K16" s="585">
        <f t="shared" si="1"/>
        <v>35835.502573901249</v>
      </c>
      <c r="L16" s="668">
        <f>K16/K20</f>
        <v>0.73139403747734089</v>
      </c>
      <c r="M16" s="640"/>
      <c r="N16" s="651" t="s">
        <v>390</v>
      </c>
      <c r="O16" s="622">
        <f>F16/U2</f>
        <v>284.69081535538606</v>
      </c>
      <c r="P16" s="622">
        <f>G16/V2</f>
        <v>296.72805484345611</v>
      </c>
      <c r="Q16" s="588"/>
      <c r="R16" s="588"/>
      <c r="S16" s="588"/>
      <c r="T16" s="648">
        <f>K16/T2</f>
        <v>291.34554938131095</v>
      </c>
      <c r="V16" s="663" t="s">
        <v>590</v>
      </c>
      <c r="W16" s="682"/>
      <c r="X16" s="664" t="s">
        <v>578</v>
      </c>
    </row>
    <row r="17" spans="1:25" ht="15.5">
      <c r="A17" s="651"/>
      <c r="B17" s="225"/>
      <c r="C17" s="225"/>
      <c r="D17" s="225"/>
      <c r="E17" s="225"/>
      <c r="F17" s="652"/>
      <c r="G17" s="652"/>
      <c r="H17" s="588"/>
      <c r="I17" s="588"/>
      <c r="J17" s="588"/>
      <c r="K17" s="585"/>
      <c r="L17" s="668"/>
      <c r="M17" s="640"/>
      <c r="N17" s="651"/>
      <c r="O17" s="667"/>
      <c r="P17" s="667"/>
      <c r="Q17" s="588"/>
      <c r="R17" s="588"/>
      <c r="S17" s="588"/>
      <c r="T17" s="648"/>
      <c r="V17" s="685" t="s">
        <v>589</v>
      </c>
      <c r="W17" s="686" t="s">
        <v>32</v>
      </c>
      <c r="X17" s="643" t="s">
        <v>577</v>
      </c>
    </row>
    <row r="18" spans="1:25" ht="15.5">
      <c r="A18" s="651" t="s">
        <v>270</v>
      </c>
      <c r="B18" s="225"/>
      <c r="C18" s="225"/>
      <c r="D18" s="225"/>
      <c r="E18" s="225"/>
      <c r="F18" s="652">
        <f>Lab_Stationery!C75</f>
        <v>4578.1517454545456</v>
      </c>
      <c r="G18" s="652">
        <f>Lab_Stationery!E75</f>
        <v>5595.5187999999998</v>
      </c>
      <c r="H18" s="588"/>
      <c r="I18" s="588"/>
      <c r="J18" s="588"/>
      <c r="K18" s="585">
        <f t="shared" si="1"/>
        <v>10173.670545454544</v>
      </c>
      <c r="L18" s="668">
        <f>K18/K20</f>
        <v>0.20764218280068164</v>
      </c>
      <c r="M18" s="640"/>
      <c r="N18" s="651" t="s">
        <v>270</v>
      </c>
      <c r="O18" s="622">
        <f>F18/U2</f>
        <v>83.239122644628097</v>
      </c>
      <c r="P18" s="622">
        <f>G18/V2</f>
        <v>82.287041176470581</v>
      </c>
      <c r="Q18" s="588"/>
      <c r="R18" s="588"/>
      <c r="S18" s="588"/>
      <c r="T18" s="648">
        <f>K18/T2</f>
        <v>82.712768662232065</v>
      </c>
      <c r="V18" s="655" t="s">
        <v>579</v>
      </c>
      <c r="W18" s="683">
        <f>T7</f>
        <v>7.3639951261299865</v>
      </c>
      <c r="X18" s="687">
        <f>X6</f>
        <v>1.8410498731078973E-2</v>
      </c>
    </row>
    <row r="19" spans="1:25" ht="15.5">
      <c r="A19" s="634" t="s">
        <v>575</v>
      </c>
      <c r="B19" s="225"/>
      <c r="C19" s="225"/>
      <c r="D19" s="225"/>
      <c r="E19" s="225"/>
      <c r="F19" s="617">
        <f>SUM(F13:F18)</f>
        <v>20508.246437488819</v>
      </c>
      <c r="G19" s="617">
        <f>SUM(G13:G18)</f>
        <v>26092.158626059056</v>
      </c>
      <c r="H19" s="588"/>
      <c r="I19" s="588"/>
      <c r="J19" s="588"/>
      <c r="K19" s="618">
        <f t="shared" ref="K19" si="2">SUM(K13:K18)</f>
        <v>46600.405063547871</v>
      </c>
      <c r="L19" s="668">
        <f>K19/K20</f>
        <v>0.9511031228659369</v>
      </c>
      <c r="M19" s="642"/>
      <c r="N19" s="634" t="s">
        <v>574</v>
      </c>
      <c r="O19" s="622">
        <f>F19/U2</f>
        <v>372.87720795434217</v>
      </c>
      <c r="P19" s="622">
        <f>G19/V2</f>
        <v>383.70821508910376</v>
      </c>
      <c r="Q19" s="659"/>
      <c r="R19" s="659"/>
      <c r="S19" s="659"/>
      <c r="T19" s="650">
        <f>K19/T2</f>
        <v>378.86508181746234</v>
      </c>
      <c r="V19" s="655" t="s">
        <v>580</v>
      </c>
      <c r="W19" s="683">
        <f>T8</f>
        <v>0.77883693684098421</v>
      </c>
      <c r="X19" s="687">
        <f t="shared" ref="X19:X26" si="3">X7</f>
        <v>1.9471463779965666E-3</v>
      </c>
    </row>
    <row r="20" spans="1:25" ht="19.5" customHeight="1" thickBot="1">
      <c r="A20" s="635" t="s">
        <v>385</v>
      </c>
      <c r="B20" s="636"/>
      <c r="C20" s="636"/>
      <c r="D20" s="636"/>
      <c r="E20" s="636"/>
      <c r="F20" s="637">
        <f>SUM(F11+F19)</f>
        <v>21712.543412410025</v>
      </c>
      <c r="G20" s="637">
        <f>SUM(G11+G19)</f>
        <v>27283.621086690724</v>
      </c>
      <c r="H20" s="638"/>
      <c r="I20" s="638"/>
      <c r="J20" s="638"/>
      <c r="K20" s="637">
        <f>SUM(K11+K19)</f>
        <v>48996.164499100742</v>
      </c>
      <c r="L20" s="670">
        <f>K20/K20</f>
        <v>1</v>
      </c>
      <c r="M20" s="642"/>
      <c r="N20" s="635" t="s">
        <v>385</v>
      </c>
      <c r="O20" s="665">
        <f>F20/U2</f>
        <v>394.77351658927319</v>
      </c>
      <c r="P20" s="665">
        <f>G20/V2</f>
        <v>401.22972186309886</v>
      </c>
      <c r="Q20" s="660"/>
      <c r="R20" s="660"/>
      <c r="S20" s="660"/>
      <c r="T20" s="666">
        <f>K20/T2</f>
        <v>398.3428008056971</v>
      </c>
      <c r="V20" s="655" t="s">
        <v>581</v>
      </c>
      <c r="W20" s="683">
        <f>T9</f>
        <v>0.51740915384540909</v>
      </c>
      <c r="X20" s="687">
        <f t="shared" si="3"/>
        <v>1.2935587825851317E-3</v>
      </c>
    </row>
    <row r="21" spans="1:25" ht="15.5">
      <c r="V21" s="655" t="s">
        <v>133</v>
      </c>
      <c r="W21" s="683">
        <f>T10</f>
        <v>10.817477771418359</v>
      </c>
      <c r="X21" s="687">
        <f t="shared" si="3"/>
        <v>3.1159805814132639E-2</v>
      </c>
    </row>
    <row r="22" spans="1:25" ht="15.5">
      <c r="V22" s="655" t="s">
        <v>582</v>
      </c>
      <c r="W22" s="683">
        <f>T13</f>
        <v>1.5509899685001984</v>
      </c>
      <c r="X22" s="687">
        <f t="shared" si="3"/>
        <v>3.8775825293077583E-3</v>
      </c>
    </row>
    <row r="23" spans="1:25" ht="15.5">
      <c r="A23" s="653"/>
      <c r="B23" s="654"/>
      <c r="C23" s="654"/>
      <c r="D23" s="654"/>
      <c r="E23" s="654"/>
      <c r="F23" s="654"/>
      <c r="G23" s="654"/>
      <c r="H23" s="654"/>
      <c r="I23" s="654"/>
      <c r="J23" s="654"/>
      <c r="K23" s="654"/>
      <c r="L23" s="654"/>
      <c r="M23" s="654"/>
      <c r="N23" s="654"/>
      <c r="O23" s="654"/>
      <c r="V23" s="655" t="s">
        <v>135</v>
      </c>
      <c r="W23" s="683">
        <f>T14</f>
        <v>0.84996304508499643</v>
      </c>
      <c r="X23" s="687">
        <f t="shared" si="3"/>
        <v>2.1249665833531035E-3</v>
      </c>
    </row>
    <row r="24" spans="1:25" ht="15.5">
      <c r="A24" s="621"/>
      <c r="B24" s="606"/>
      <c r="C24" s="606"/>
      <c r="D24" s="606"/>
      <c r="E24" s="606"/>
      <c r="F24" s="606"/>
      <c r="G24" s="606"/>
      <c r="H24" s="606"/>
      <c r="I24" s="606"/>
      <c r="J24" s="606"/>
      <c r="K24" s="606"/>
      <c r="L24" s="606"/>
      <c r="M24" s="606"/>
      <c r="N24" s="606"/>
      <c r="V24" s="655" t="s">
        <v>583</v>
      </c>
      <c r="W24" s="683">
        <f>T15</f>
        <v>2.4058107603341146</v>
      </c>
      <c r="X24" s="687">
        <f t="shared" si="3"/>
        <v>6.0146938165647999E-3</v>
      </c>
    </row>
    <row r="25" spans="1:25" ht="15.5">
      <c r="A25" s="621"/>
      <c r="B25" s="606"/>
      <c r="C25" s="606"/>
      <c r="D25" s="606"/>
      <c r="E25" s="606"/>
      <c r="F25" s="606"/>
      <c r="G25" s="606"/>
      <c r="H25" s="606"/>
      <c r="I25" s="606"/>
      <c r="J25" s="606"/>
      <c r="K25" s="606"/>
      <c r="L25" s="606"/>
      <c r="M25" s="606"/>
      <c r="N25" s="606"/>
      <c r="V25" s="655" t="s">
        <v>348</v>
      </c>
      <c r="W25" s="683">
        <f>T16</f>
        <v>291.34554938131095</v>
      </c>
      <c r="X25" s="687">
        <f t="shared" si="3"/>
        <v>0.72838408707760616</v>
      </c>
    </row>
    <row r="26" spans="1:25" ht="15.5">
      <c r="A26" s="621"/>
      <c r="B26" s="606"/>
      <c r="C26" s="606"/>
      <c r="D26" s="606"/>
      <c r="E26" s="606"/>
      <c r="F26" s="606"/>
      <c r="G26" s="606"/>
      <c r="H26" s="606"/>
      <c r="I26" s="606"/>
      <c r="J26" s="606"/>
      <c r="K26" s="606"/>
      <c r="L26" s="606"/>
      <c r="M26" s="606"/>
      <c r="N26" s="606"/>
      <c r="V26" s="681" t="s">
        <v>584</v>
      </c>
      <c r="W26" s="684">
        <f t="shared" ref="W26" si="4">T18</f>
        <v>82.712768662232065</v>
      </c>
      <c r="X26" s="687">
        <f t="shared" si="3"/>
        <v>0.20678766028737489</v>
      </c>
    </row>
    <row r="27" spans="1:25" ht="16" thickBot="1">
      <c r="A27" s="621"/>
      <c r="B27" s="606"/>
      <c r="C27" s="606"/>
      <c r="D27" s="606"/>
      <c r="E27" s="606"/>
      <c r="F27" s="606"/>
      <c r="G27" s="606"/>
      <c r="H27" s="606"/>
      <c r="I27" s="606"/>
      <c r="J27" s="606"/>
      <c r="K27" s="606"/>
      <c r="L27" s="606"/>
      <c r="M27" s="606"/>
      <c r="N27" s="606"/>
      <c r="V27" s="688" t="s">
        <v>588</v>
      </c>
      <c r="W27" s="689">
        <f>SUM(W18:W26)</f>
        <v>398.34280080569704</v>
      </c>
      <c r="X27" s="690">
        <f>SUM(X18:X26)</f>
        <v>1</v>
      </c>
    </row>
    <row r="28" spans="1:25" ht="16" thickBot="1">
      <c r="A28" s="621"/>
      <c r="B28" s="606"/>
      <c r="C28" s="606"/>
      <c r="D28" s="606"/>
      <c r="E28" s="606"/>
      <c r="F28" s="606"/>
      <c r="G28" s="606"/>
      <c r="H28" s="606"/>
      <c r="I28" s="606"/>
      <c r="J28" s="606"/>
      <c r="K28" s="606"/>
      <c r="L28" s="606"/>
      <c r="M28" s="606"/>
      <c r="N28" s="606"/>
    </row>
    <row r="29" spans="1:25" ht="15.5">
      <c r="A29" s="621"/>
      <c r="B29" s="606"/>
      <c r="C29" s="606"/>
      <c r="D29" s="606"/>
      <c r="E29" s="606"/>
      <c r="F29" s="606"/>
      <c r="G29" s="606"/>
      <c r="H29" s="606"/>
      <c r="I29" s="606"/>
      <c r="J29" s="606"/>
      <c r="K29" s="606"/>
      <c r="L29" s="606"/>
      <c r="M29" s="606"/>
      <c r="N29" s="606"/>
      <c r="V29" s="701"/>
      <c r="W29" s="702"/>
      <c r="X29" s="702"/>
      <c r="Y29" s="703"/>
    </row>
    <row r="30" spans="1:25" ht="15.5">
      <c r="A30" s="621"/>
      <c r="B30" s="606"/>
      <c r="C30" s="606"/>
      <c r="D30" s="606"/>
      <c r="E30" s="606"/>
      <c r="F30" s="606"/>
      <c r="G30" s="606"/>
      <c r="H30" s="606"/>
      <c r="I30" s="606"/>
      <c r="J30" s="606"/>
      <c r="K30" s="606"/>
      <c r="L30" s="606"/>
      <c r="M30" s="606"/>
      <c r="N30" s="606"/>
      <c r="V30" s="704"/>
      <c r="W30" s="705"/>
      <c r="X30" s="705"/>
      <c r="Y30" s="706"/>
    </row>
    <row r="31" spans="1:25" ht="15.5">
      <c r="A31" s="621"/>
      <c r="B31" s="606"/>
      <c r="C31" s="606"/>
      <c r="D31" s="606"/>
      <c r="E31" s="606"/>
      <c r="F31" s="606"/>
      <c r="G31" s="606"/>
      <c r="H31" s="606"/>
      <c r="I31" s="606"/>
      <c r="J31" s="606"/>
      <c r="K31" s="606"/>
      <c r="L31" s="606"/>
      <c r="M31" s="606"/>
      <c r="N31" s="606"/>
      <c r="V31" s="707"/>
      <c r="W31" s="705"/>
      <c r="X31" s="705"/>
      <c r="Y31" s="706"/>
    </row>
    <row r="32" spans="1:25" ht="15.5">
      <c r="A32" s="621"/>
      <c r="B32" s="606"/>
      <c r="C32" s="606"/>
      <c r="D32" s="606"/>
      <c r="E32" s="606"/>
      <c r="F32" s="606"/>
      <c r="G32" s="606"/>
      <c r="H32" s="606"/>
      <c r="I32" s="606"/>
      <c r="J32" s="606"/>
      <c r="K32" s="606"/>
      <c r="L32" s="606"/>
      <c r="M32" s="606"/>
      <c r="N32" s="606"/>
      <c r="V32" s="708"/>
      <c r="W32" s="705"/>
      <c r="X32" s="705"/>
      <c r="Y32" s="706"/>
    </row>
    <row r="33" spans="1:25" ht="15.5">
      <c r="A33" s="621"/>
      <c r="B33" s="606"/>
      <c r="C33" s="606"/>
      <c r="D33" s="606"/>
      <c r="E33" s="606"/>
      <c r="F33" s="606"/>
      <c r="G33" s="606"/>
      <c r="H33" s="606"/>
      <c r="I33" s="606"/>
      <c r="J33" s="606"/>
      <c r="K33" s="606"/>
      <c r="L33" s="606"/>
      <c r="M33" s="606"/>
      <c r="N33" s="606"/>
      <c r="V33" s="708"/>
      <c r="W33" s="705"/>
      <c r="X33" s="705"/>
      <c r="Y33" s="706"/>
    </row>
    <row r="34" spans="1:25" ht="15.5">
      <c r="A34" s="621"/>
      <c r="B34" s="606"/>
      <c r="C34" s="606"/>
      <c r="D34" s="606"/>
      <c r="E34" s="606"/>
      <c r="F34" s="606"/>
      <c r="G34" s="606"/>
      <c r="H34" s="606"/>
      <c r="I34" s="606"/>
      <c r="J34" s="606"/>
      <c r="K34" s="606"/>
      <c r="L34" s="606"/>
      <c r="M34" s="606"/>
      <c r="N34" s="606"/>
      <c r="V34" s="708"/>
      <c r="W34" s="705"/>
      <c r="X34" s="705"/>
      <c r="Y34" s="706"/>
    </row>
    <row r="35" spans="1:25" ht="15.5">
      <c r="A35" s="621"/>
      <c r="B35" s="606"/>
      <c r="C35" s="606"/>
      <c r="D35" s="606"/>
      <c r="E35" s="606"/>
      <c r="F35" s="606"/>
      <c r="G35" s="606"/>
      <c r="H35" s="606"/>
      <c r="I35" s="606"/>
      <c r="J35" s="606"/>
      <c r="K35" s="606"/>
      <c r="L35" s="606"/>
      <c r="M35" s="606"/>
      <c r="N35" s="606"/>
      <c r="V35" s="708"/>
      <c r="W35" s="705"/>
      <c r="X35" s="705"/>
      <c r="Y35" s="706"/>
    </row>
    <row r="36" spans="1:25" ht="15.5">
      <c r="A36" s="621"/>
      <c r="B36" s="606"/>
      <c r="C36" s="606"/>
      <c r="D36" s="606"/>
      <c r="E36" s="606"/>
      <c r="F36" s="606"/>
      <c r="G36" s="606"/>
      <c r="H36" s="606"/>
      <c r="I36" s="606"/>
      <c r="J36" s="606"/>
      <c r="K36" s="606"/>
      <c r="L36" s="606"/>
      <c r="M36" s="606"/>
      <c r="N36" s="606"/>
      <c r="V36" s="708"/>
      <c r="W36" s="705"/>
      <c r="X36" s="705"/>
      <c r="Y36" s="706"/>
    </row>
    <row r="37" spans="1:25" ht="15.5">
      <c r="A37" s="621"/>
      <c r="B37" s="606"/>
      <c r="C37" s="606"/>
      <c r="D37" s="606"/>
      <c r="E37" s="606"/>
      <c r="F37" s="606"/>
      <c r="G37" s="606"/>
      <c r="H37" s="606"/>
      <c r="I37" s="606"/>
      <c r="J37" s="606"/>
      <c r="K37" s="606"/>
      <c r="L37" s="606"/>
      <c r="M37" s="606"/>
      <c r="N37" s="606"/>
      <c r="V37" s="708"/>
      <c r="W37" s="705"/>
      <c r="X37" s="705"/>
      <c r="Y37" s="706"/>
    </row>
    <row r="38" spans="1:25" ht="15.5">
      <c r="A38" s="621"/>
      <c r="B38" s="606"/>
      <c r="C38" s="606"/>
      <c r="D38" s="606"/>
      <c r="E38" s="606"/>
      <c r="F38" s="606"/>
      <c r="G38" s="606"/>
      <c r="H38" s="606"/>
      <c r="I38" s="606"/>
      <c r="J38" s="606"/>
      <c r="K38" s="606"/>
      <c r="L38" s="606"/>
      <c r="M38" s="606"/>
      <c r="N38" s="606"/>
      <c r="V38" s="708"/>
      <c r="W38" s="705"/>
      <c r="X38" s="705"/>
      <c r="Y38" s="706"/>
    </row>
    <row r="39" spans="1:25" ht="15.5">
      <c r="A39" s="621"/>
      <c r="B39" s="606"/>
      <c r="C39" s="606"/>
      <c r="D39" s="606"/>
      <c r="E39" s="606"/>
      <c r="F39" s="606"/>
      <c r="G39" s="606"/>
      <c r="H39" s="606"/>
      <c r="I39" s="606"/>
      <c r="J39" s="606"/>
      <c r="K39" s="606"/>
      <c r="L39" s="606"/>
      <c r="M39" s="606"/>
      <c r="N39" s="606"/>
      <c r="V39" s="708"/>
      <c r="W39" s="705"/>
      <c r="X39" s="705"/>
      <c r="Y39" s="706"/>
    </row>
    <row r="40" spans="1:25" ht="15.5">
      <c r="A40" s="621"/>
      <c r="B40" s="606"/>
      <c r="C40" s="606"/>
      <c r="D40" s="606"/>
      <c r="E40" s="606"/>
      <c r="F40" s="606"/>
      <c r="G40" s="606"/>
      <c r="H40" s="606"/>
      <c r="I40" s="606"/>
      <c r="J40" s="606"/>
      <c r="K40" s="606"/>
      <c r="L40" s="606"/>
      <c r="M40" s="606"/>
      <c r="N40" s="606"/>
      <c r="V40" s="708"/>
      <c r="W40" s="705"/>
      <c r="X40" s="705"/>
      <c r="Y40" s="706"/>
    </row>
    <row r="41" spans="1:25" ht="15.5">
      <c r="A41" s="621"/>
      <c r="B41" s="606"/>
      <c r="C41" s="606"/>
      <c r="D41" s="606"/>
      <c r="E41" s="606"/>
      <c r="F41" s="606"/>
      <c r="G41" s="606"/>
      <c r="H41" s="606"/>
      <c r="I41" s="606"/>
      <c r="J41" s="606"/>
      <c r="K41" s="606"/>
      <c r="L41" s="606"/>
      <c r="M41" s="606"/>
      <c r="N41" s="606"/>
      <c r="V41" s="708"/>
      <c r="W41" s="705"/>
      <c r="X41" s="705"/>
      <c r="Y41" s="706"/>
    </row>
    <row r="42" spans="1:25" ht="15.5">
      <c r="A42" s="621"/>
      <c r="B42" s="606"/>
      <c r="C42" s="606"/>
      <c r="D42" s="606"/>
      <c r="E42" s="606"/>
      <c r="F42" s="606"/>
      <c r="G42" s="606"/>
      <c r="H42" s="606"/>
      <c r="I42" s="606"/>
      <c r="J42" s="606"/>
      <c r="K42" s="606"/>
      <c r="L42" s="606"/>
      <c r="M42" s="606"/>
      <c r="V42" s="708"/>
      <c r="W42" s="705"/>
      <c r="X42" s="705"/>
      <c r="Y42" s="706"/>
    </row>
    <row r="43" spans="1:25" ht="15.5">
      <c r="A43" s="621"/>
      <c r="B43" s="606"/>
      <c r="C43" s="606"/>
      <c r="D43" s="606"/>
      <c r="E43" s="606"/>
      <c r="F43" s="606"/>
      <c r="G43" s="606"/>
      <c r="H43" s="606"/>
      <c r="I43" s="606"/>
      <c r="J43" s="606"/>
      <c r="K43" s="606"/>
      <c r="L43" s="606"/>
      <c r="M43" s="606"/>
      <c r="N43" s="606"/>
      <c r="V43" s="708"/>
      <c r="W43" s="705"/>
      <c r="X43" s="705"/>
      <c r="Y43" s="706"/>
    </row>
    <row r="44" spans="1:25" ht="15.5">
      <c r="A44" s="621"/>
      <c r="B44" s="606"/>
      <c r="C44" s="606"/>
      <c r="D44" s="606"/>
      <c r="E44" s="606"/>
      <c r="F44" s="606"/>
      <c r="G44" s="606"/>
      <c r="H44" s="606"/>
      <c r="I44" s="606"/>
      <c r="J44" s="606"/>
      <c r="K44" s="606"/>
      <c r="L44" s="606"/>
      <c r="M44" s="606"/>
      <c r="N44" s="606"/>
      <c r="V44" s="708"/>
      <c r="W44" s="705"/>
      <c r="X44" s="705"/>
      <c r="Y44" s="706"/>
    </row>
    <row r="45" spans="1:25" ht="15.5">
      <c r="A45" s="621"/>
      <c r="B45" s="606"/>
      <c r="C45" s="606"/>
      <c r="D45" s="606"/>
      <c r="E45" s="606"/>
      <c r="F45" s="606"/>
      <c r="G45" s="606"/>
      <c r="H45" s="606"/>
      <c r="I45" s="606"/>
      <c r="J45" s="606"/>
      <c r="K45" s="606"/>
      <c r="L45" s="606"/>
      <c r="M45" s="606"/>
      <c r="N45" s="606"/>
      <c r="V45" s="708"/>
      <c r="W45" s="705"/>
      <c r="X45" s="705"/>
      <c r="Y45" s="706"/>
    </row>
    <row r="46" spans="1:25" ht="15.5">
      <c r="A46" s="653"/>
      <c r="B46" s="654"/>
      <c r="C46" s="654"/>
      <c r="D46" s="654"/>
      <c r="E46" s="654"/>
      <c r="F46" s="654"/>
      <c r="G46" s="654"/>
      <c r="H46" s="654"/>
      <c r="I46" s="654"/>
      <c r="J46" s="654"/>
      <c r="K46" s="654"/>
      <c r="L46" s="654"/>
      <c r="M46" s="654"/>
      <c r="N46" s="654"/>
      <c r="O46" s="654"/>
      <c r="V46" s="708"/>
      <c r="W46" s="705"/>
      <c r="X46" s="705"/>
      <c r="Y46" s="706"/>
    </row>
    <row r="47" spans="1:25" ht="15.5">
      <c r="B47" s="606"/>
      <c r="C47" s="606"/>
      <c r="D47" s="606"/>
      <c r="E47" s="606"/>
      <c r="F47" s="606"/>
      <c r="G47" s="606"/>
      <c r="H47" s="606"/>
      <c r="I47" s="606"/>
      <c r="J47" s="606"/>
      <c r="K47" s="606"/>
      <c r="L47" s="606"/>
      <c r="M47" s="606"/>
      <c r="N47" s="606"/>
      <c r="V47" s="708"/>
      <c r="W47" s="705"/>
      <c r="X47" s="705"/>
      <c r="Y47" s="706"/>
    </row>
    <row r="48" spans="1:25" ht="15.5">
      <c r="A48" s="621"/>
      <c r="B48" s="606"/>
      <c r="C48" s="606"/>
      <c r="D48" s="606"/>
      <c r="E48" s="606"/>
      <c r="F48" s="606"/>
      <c r="G48" s="606"/>
      <c r="H48" s="606"/>
      <c r="I48" s="606"/>
      <c r="J48" s="606"/>
      <c r="K48" s="606"/>
      <c r="L48" s="606"/>
      <c r="M48" s="606"/>
      <c r="N48" s="606"/>
      <c r="V48" s="708"/>
      <c r="W48" s="705"/>
      <c r="X48" s="705"/>
      <c r="Y48" s="706"/>
    </row>
    <row r="49" spans="22:25">
      <c r="V49" s="708"/>
      <c r="W49" s="705"/>
      <c r="X49" s="705"/>
      <c r="Y49" s="706"/>
    </row>
    <row r="50" spans="22:25">
      <c r="V50" s="708"/>
      <c r="W50" s="705"/>
      <c r="X50" s="705"/>
      <c r="Y50" s="706"/>
    </row>
    <row r="51" spans="22:25">
      <c r="V51" s="708"/>
      <c r="W51" s="705"/>
      <c r="X51" s="705"/>
      <c r="Y51" s="706"/>
    </row>
    <row r="52" spans="22:25" ht="15.5">
      <c r="V52" s="707"/>
      <c r="W52" s="705"/>
      <c r="X52" s="705"/>
      <c r="Y52" s="706"/>
    </row>
    <row r="53" spans="22:25" ht="15.5">
      <c r="V53" s="709"/>
      <c r="W53" s="705"/>
      <c r="X53" s="705"/>
      <c r="Y53" s="706"/>
    </row>
    <row r="54" spans="22:25">
      <c r="V54" s="708"/>
      <c r="W54" s="705"/>
      <c r="X54" s="705"/>
      <c r="Y54" s="706"/>
    </row>
    <row r="55" spans="22:25">
      <c r="V55" s="708"/>
      <c r="W55" s="705"/>
      <c r="X55" s="705"/>
      <c r="Y55" s="706"/>
    </row>
    <row r="56" spans="22:25">
      <c r="V56" s="708"/>
      <c r="W56" s="705"/>
      <c r="X56" s="705"/>
      <c r="Y56" s="706"/>
    </row>
    <row r="57" spans="22:25">
      <c r="V57" s="708"/>
      <c r="W57" s="705"/>
      <c r="X57" s="705"/>
      <c r="Y57" s="706"/>
    </row>
    <row r="58" spans="22:25">
      <c r="V58" s="708"/>
      <c r="W58" s="705"/>
      <c r="X58" s="705"/>
      <c r="Y58" s="706"/>
    </row>
    <row r="59" spans="22:25">
      <c r="V59" s="708"/>
      <c r="W59" s="705"/>
      <c r="X59" s="705"/>
      <c r="Y59" s="706"/>
    </row>
    <row r="60" spans="22:25">
      <c r="V60" s="708"/>
      <c r="W60" s="705"/>
      <c r="X60" s="705"/>
      <c r="Y60" s="706"/>
    </row>
    <row r="61" spans="22:25" ht="15.5">
      <c r="V61" s="707"/>
      <c r="W61" s="705"/>
      <c r="X61" s="705"/>
      <c r="Y61" s="706"/>
    </row>
    <row r="62" spans="22:25">
      <c r="V62" s="708"/>
      <c r="W62" s="705"/>
      <c r="X62" s="705"/>
      <c r="Y62" s="706"/>
    </row>
    <row r="63" spans="22:25">
      <c r="V63" s="708"/>
      <c r="W63" s="705"/>
      <c r="X63" s="705"/>
      <c r="Y63" s="706"/>
    </row>
    <row r="64" spans="22:25">
      <c r="V64" s="708"/>
      <c r="W64" s="705"/>
      <c r="X64" s="705"/>
      <c r="Y64" s="706"/>
    </row>
    <row r="65" spans="1:25">
      <c r="V65" s="708"/>
      <c r="W65" s="705"/>
      <c r="X65" s="705"/>
      <c r="Y65" s="706"/>
    </row>
    <row r="66" spans="1:25">
      <c r="V66" s="708"/>
      <c r="W66" s="705"/>
      <c r="X66" s="705"/>
      <c r="Y66" s="706"/>
    </row>
    <row r="67" spans="1:25">
      <c r="V67" s="708"/>
      <c r="W67" s="705"/>
      <c r="X67" s="705"/>
      <c r="Y67" s="706"/>
    </row>
    <row r="68" spans="1:25">
      <c r="V68" s="708"/>
      <c r="W68" s="705"/>
      <c r="X68" s="705"/>
      <c r="Y68" s="706"/>
    </row>
    <row r="69" spans="1:25">
      <c r="V69" s="708"/>
      <c r="W69" s="705"/>
      <c r="X69" s="705"/>
      <c r="Y69" s="706"/>
    </row>
    <row r="70" spans="1:25">
      <c r="V70" s="708"/>
      <c r="W70" s="705"/>
      <c r="X70" s="705"/>
      <c r="Y70" s="706"/>
    </row>
    <row r="71" spans="1:25">
      <c r="V71" s="708"/>
      <c r="W71" s="705"/>
      <c r="X71" s="705"/>
      <c r="Y71" s="706"/>
    </row>
    <row r="72" spans="1:25" ht="15.5">
      <c r="A72" s="653"/>
      <c r="L72" s="654"/>
      <c r="O72" s="654"/>
      <c r="V72" s="708"/>
      <c r="W72" s="705"/>
      <c r="X72" s="705"/>
      <c r="Y72" s="706"/>
    </row>
    <row r="73" spans="1:25">
      <c r="V73" s="708"/>
      <c r="W73" s="705"/>
      <c r="X73" s="705"/>
      <c r="Y73" s="706"/>
    </row>
    <row r="74" spans="1:25">
      <c r="V74" s="708"/>
      <c r="W74" s="705"/>
      <c r="X74" s="705"/>
      <c r="Y74" s="706"/>
    </row>
    <row r="75" spans="1:25" ht="15.5">
      <c r="P75" s="654"/>
      <c r="T75" s="654"/>
      <c r="V75" s="707"/>
      <c r="W75" s="710"/>
      <c r="X75" s="705"/>
      <c r="Y75" s="706"/>
    </row>
    <row r="76" spans="1:25">
      <c r="V76" s="708"/>
      <c r="W76" s="705"/>
      <c r="X76" s="705"/>
      <c r="Y76" s="706"/>
    </row>
    <row r="77" spans="1:25">
      <c r="V77" s="708"/>
      <c r="W77" s="705"/>
      <c r="X77" s="705"/>
      <c r="Y77" s="706"/>
    </row>
    <row r="78" spans="1:25">
      <c r="V78" s="708"/>
      <c r="W78" s="705"/>
      <c r="X78" s="705"/>
      <c r="Y78" s="706"/>
    </row>
    <row r="79" spans="1:25">
      <c r="V79" s="708"/>
      <c r="W79" s="705"/>
      <c r="X79" s="705"/>
      <c r="Y79" s="706"/>
    </row>
    <row r="80" spans="1:25">
      <c r="V80" s="708"/>
      <c r="W80" s="705"/>
      <c r="X80" s="705"/>
      <c r="Y80" s="706"/>
    </row>
    <row r="81" spans="1:25">
      <c r="V81" s="708"/>
      <c r="W81" s="705"/>
      <c r="X81" s="705"/>
      <c r="Y81" s="706"/>
    </row>
    <row r="82" spans="1:25">
      <c r="V82" s="708"/>
      <c r="W82" s="705"/>
      <c r="X82" s="705"/>
      <c r="Y82" s="706"/>
    </row>
    <row r="83" spans="1:25">
      <c r="V83" s="708"/>
      <c r="W83" s="705"/>
      <c r="X83" s="705"/>
      <c r="Y83" s="706"/>
    </row>
    <row r="84" spans="1:25">
      <c r="V84" s="708"/>
      <c r="W84" s="705"/>
      <c r="X84" s="705"/>
      <c r="Y84" s="706"/>
    </row>
    <row r="85" spans="1:25">
      <c r="V85" s="711"/>
      <c r="W85" s="705"/>
      <c r="X85" s="705"/>
      <c r="Y85" s="706"/>
    </row>
    <row r="86" spans="1:25">
      <c r="V86" s="708"/>
      <c r="W86" s="705"/>
      <c r="X86" s="705"/>
      <c r="Y86" s="706"/>
    </row>
    <row r="87" spans="1:25">
      <c r="V87" s="708"/>
      <c r="W87" s="705"/>
      <c r="X87" s="705"/>
      <c r="Y87" s="706"/>
    </row>
    <row r="88" spans="1:25">
      <c r="V88" s="708"/>
      <c r="W88" s="705"/>
      <c r="X88" s="705"/>
      <c r="Y88" s="706"/>
    </row>
    <row r="89" spans="1:25">
      <c r="V89" s="708"/>
      <c r="W89" s="705"/>
      <c r="X89" s="705"/>
      <c r="Y89" s="706"/>
    </row>
    <row r="90" spans="1:25">
      <c r="V90" s="708"/>
      <c r="W90" s="705"/>
      <c r="X90" s="705"/>
      <c r="Y90" s="706"/>
    </row>
    <row r="91" spans="1:25">
      <c r="V91" s="708"/>
      <c r="W91" s="705"/>
      <c r="X91" s="705"/>
      <c r="Y91" s="706"/>
    </row>
    <row r="92" spans="1:25">
      <c r="V92" s="708"/>
      <c r="W92" s="705"/>
      <c r="X92" s="705"/>
      <c r="Y92" s="706"/>
    </row>
    <row r="93" spans="1:25">
      <c r="V93" s="708"/>
      <c r="W93" s="705"/>
      <c r="X93" s="705"/>
      <c r="Y93" s="706"/>
    </row>
    <row r="94" spans="1:25">
      <c r="V94" s="708"/>
      <c r="W94" s="705"/>
      <c r="X94" s="705"/>
      <c r="Y94" s="706"/>
    </row>
    <row r="95" spans="1:25" ht="15.5">
      <c r="A95" s="654"/>
      <c r="V95" s="708"/>
      <c r="W95" s="705"/>
      <c r="X95" s="705"/>
      <c r="Y95" s="706"/>
    </row>
    <row r="96" spans="1:25" ht="15.5">
      <c r="L96" s="654"/>
      <c r="V96" s="708"/>
      <c r="W96" s="705"/>
      <c r="X96" s="705"/>
      <c r="Y96" s="706"/>
    </row>
    <row r="97" spans="15:25" ht="15" thickBot="1">
      <c r="V97" s="712"/>
      <c r="W97" s="713"/>
      <c r="X97" s="713"/>
      <c r="Y97" s="714"/>
    </row>
    <row r="99" spans="15:25" ht="15.5">
      <c r="O99" s="654"/>
    </row>
    <row r="101" spans="15:25" ht="15.5">
      <c r="V101" s="654"/>
    </row>
    <row r="119" spans="1:16" ht="15.5">
      <c r="A119" s="653"/>
    </row>
    <row r="120" spans="1:16" ht="15.5">
      <c r="L120" s="654"/>
      <c r="P120" s="654"/>
    </row>
    <row r="139" spans="1:16" ht="15.5">
      <c r="P139" s="654"/>
    </row>
    <row r="143" spans="1:16" ht="15.5">
      <c r="A143" s="653"/>
      <c r="L143" s="654"/>
    </row>
  </sheetData>
  <mergeCells count="11">
    <mergeCell ref="N4:T4"/>
    <mergeCell ref="V4:X4"/>
    <mergeCell ref="Q7:Q11"/>
    <mergeCell ref="R7:R11"/>
    <mergeCell ref="S7:S11"/>
    <mergeCell ref="A4:K4"/>
    <mergeCell ref="B6:E6"/>
    <mergeCell ref="H7:H11"/>
    <mergeCell ref="I7:I11"/>
    <mergeCell ref="J7:J11"/>
    <mergeCell ref="B11:E11"/>
  </mergeCells>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52"/>
  <sheetViews>
    <sheetView zoomScaleNormal="100" workbookViewId="0">
      <selection activeCell="J44" sqref="J44"/>
    </sheetView>
  </sheetViews>
  <sheetFormatPr defaultColWidth="11.453125" defaultRowHeight="12.5"/>
  <cols>
    <col min="1" max="1" width="71.36328125" style="53" customWidth="1"/>
    <col min="2" max="2" width="27.81640625" style="54" customWidth="1"/>
    <col min="3" max="3" width="32.54296875" style="54" customWidth="1"/>
    <col min="4" max="4" width="20.81640625" style="54" customWidth="1"/>
    <col min="5" max="5" width="19.26953125" style="54" customWidth="1"/>
    <col min="6" max="6" width="17.7265625" style="54" customWidth="1"/>
    <col min="7" max="7" width="30.08984375" style="54" customWidth="1"/>
    <col min="8" max="8" width="13.7265625" style="54" customWidth="1"/>
    <col min="9" max="9" width="38.1796875" style="54" customWidth="1"/>
    <col min="10" max="10" width="24.7265625" style="54" customWidth="1"/>
    <col min="11" max="11" width="18.54296875" style="54" customWidth="1"/>
    <col min="12" max="12" width="38.1796875" style="54" customWidth="1"/>
    <col min="13" max="13" width="22.7265625" style="55" customWidth="1"/>
    <col min="14" max="14" width="18.90625" style="54" customWidth="1"/>
    <col min="15" max="15" width="17.90625" style="53" customWidth="1"/>
    <col min="16" max="16" width="56.08984375" style="53" customWidth="1"/>
    <col min="17" max="17" width="56.6328125" style="53" customWidth="1"/>
    <col min="18" max="18" width="28.08984375" style="53" customWidth="1"/>
    <col min="19" max="16384" width="11.453125" style="53"/>
  </cols>
  <sheetData>
    <row r="1" spans="1:17" s="136" customFormat="1" ht="15" customHeight="1">
      <c r="A1" s="501" t="s">
        <v>374</v>
      </c>
      <c r="B1" s="501" t="s">
        <v>137</v>
      </c>
      <c r="C1" s="501" t="s">
        <v>232</v>
      </c>
      <c r="D1" s="501"/>
      <c r="E1" s="501"/>
      <c r="F1" s="501" t="s">
        <v>233</v>
      </c>
      <c r="G1" s="501" t="s">
        <v>32</v>
      </c>
      <c r="H1" s="501"/>
      <c r="I1" s="502" t="s">
        <v>541</v>
      </c>
      <c r="J1" s="501" t="s">
        <v>233</v>
      </c>
      <c r="K1" s="501" t="s">
        <v>32</v>
      </c>
      <c r="L1" s="502" t="s">
        <v>542</v>
      </c>
      <c r="M1" s="502" t="s">
        <v>233</v>
      </c>
      <c r="N1" s="501" t="s">
        <v>32</v>
      </c>
      <c r="O1" s="503"/>
      <c r="P1" s="501"/>
      <c r="Q1" s="503"/>
    </row>
    <row r="2" spans="1:17" s="136" customFormat="1" ht="15.5">
      <c r="A2" s="504" t="s">
        <v>278</v>
      </c>
      <c r="B2" s="505"/>
      <c r="C2" s="505"/>
      <c r="D2" s="505"/>
      <c r="E2" s="503"/>
      <c r="F2" s="503">
        <v>1</v>
      </c>
      <c r="G2" s="503">
        <v>110</v>
      </c>
      <c r="H2" s="501"/>
      <c r="I2" s="501"/>
      <c r="J2" s="503">
        <v>300</v>
      </c>
      <c r="K2" s="506">
        <f>J2/G2</f>
        <v>2.7272727272727271</v>
      </c>
      <c r="L2" s="506"/>
      <c r="M2" s="507">
        <v>7000</v>
      </c>
      <c r="N2" s="506">
        <f>M2/G2</f>
        <v>63.636363636363633</v>
      </c>
      <c r="O2" s="505"/>
      <c r="P2" s="508"/>
      <c r="Q2" s="508"/>
    </row>
    <row r="3" spans="1:17" s="136" customFormat="1" ht="18" customHeight="1">
      <c r="A3" s="509" t="s">
        <v>8</v>
      </c>
      <c r="B3" s="509" t="s">
        <v>427</v>
      </c>
      <c r="C3" s="509" t="s">
        <v>428</v>
      </c>
      <c r="D3" s="509"/>
      <c r="E3" s="509"/>
      <c r="F3" s="509"/>
      <c r="G3" s="509"/>
      <c r="H3" s="509"/>
      <c r="I3" s="509"/>
      <c r="J3" s="509"/>
      <c r="K3" s="509"/>
      <c r="L3" s="509"/>
      <c r="M3" s="509"/>
      <c r="N3" s="509"/>
      <c r="O3" s="509"/>
      <c r="P3" s="509" t="s">
        <v>416</v>
      </c>
      <c r="Q3" s="509" t="s">
        <v>417</v>
      </c>
    </row>
    <row r="4" spans="1:17" s="137" customFormat="1" ht="17.25" customHeight="1">
      <c r="A4" s="510" t="s">
        <v>156</v>
      </c>
      <c r="B4" s="511"/>
      <c r="C4" s="511"/>
      <c r="D4" s="511"/>
      <c r="E4" s="511"/>
      <c r="F4" s="511"/>
      <c r="G4" s="511"/>
      <c r="H4" s="511"/>
      <c r="I4" s="511"/>
      <c r="J4" s="511"/>
      <c r="K4" s="511"/>
      <c r="L4" s="511"/>
      <c r="M4" s="511"/>
      <c r="N4" s="511"/>
      <c r="O4" s="512"/>
      <c r="P4" s="511"/>
      <c r="Q4" s="513"/>
    </row>
    <row r="5" spans="1:17" s="136" customFormat="1" ht="21" customHeight="1">
      <c r="A5" s="514" t="s">
        <v>272</v>
      </c>
      <c r="B5" s="515" t="s">
        <v>2</v>
      </c>
      <c r="C5" s="515" t="s">
        <v>2</v>
      </c>
      <c r="D5" s="515"/>
      <c r="E5" s="515"/>
      <c r="F5" s="515"/>
      <c r="G5" s="515"/>
      <c r="H5" s="515"/>
      <c r="I5" s="515"/>
      <c r="J5" s="515"/>
      <c r="K5" s="515"/>
      <c r="L5" s="515"/>
      <c r="M5" s="515"/>
      <c r="N5" s="515"/>
      <c r="O5" s="507"/>
      <c r="P5" s="515">
        <v>1</v>
      </c>
      <c r="Q5" s="507">
        <v>1</v>
      </c>
    </row>
    <row r="6" spans="1:17" s="136" customFormat="1" ht="14.5" customHeight="1">
      <c r="A6" s="516" t="s">
        <v>284</v>
      </c>
      <c r="B6" s="515" t="s">
        <v>2</v>
      </c>
      <c r="C6" s="515" t="s">
        <v>2</v>
      </c>
      <c r="D6" s="515"/>
      <c r="E6" s="515"/>
      <c r="F6" s="515"/>
      <c r="G6" s="515"/>
      <c r="H6" s="515"/>
      <c r="I6" s="515"/>
      <c r="J6" s="515"/>
      <c r="K6" s="515"/>
      <c r="L6" s="515"/>
      <c r="M6" s="515"/>
      <c r="N6" s="515"/>
      <c r="O6" s="507"/>
      <c r="P6" s="515">
        <v>1</v>
      </c>
      <c r="Q6" s="507">
        <v>1</v>
      </c>
    </row>
    <row r="7" spans="1:17" s="136" customFormat="1" ht="16.5" customHeight="1">
      <c r="A7" s="517" t="s">
        <v>187</v>
      </c>
      <c r="B7" s="517" t="s">
        <v>249</v>
      </c>
      <c r="C7" s="509" t="s">
        <v>309</v>
      </c>
      <c r="D7" s="517" t="s">
        <v>308</v>
      </c>
      <c r="E7" s="518" t="s">
        <v>558</v>
      </c>
      <c r="F7" s="518" t="s">
        <v>310</v>
      </c>
      <c r="G7" s="519" t="s">
        <v>365</v>
      </c>
      <c r="H7" s="519" t="s">
        <v>306</v>
      </c>
      <c r="I7" s="519" t="s">
        <v>369</v>
      </c>
      <c r="J7" s="519" t="s">
        <v>306</v>
      </c>
      <c r="K7" s="519" t="s">
        <v>259</v>
      </c>
      <c r="L7" s="519"/>
      <c r="M7" s="519"/>
      <c r="N7" s="519"/>
      <c r="O7" s="519"/>
      <c r="P7" s="509"/>
      <c r="Q7" s="509"/>
    </row>
    <row r="8" spans="1:17" s="136" customFormat="1" ht="15.5">
      <c r="A8" s="520" t="s">
        <v>10</v>
      </c>
      <c r="B8" s="566"/>
      <c r="C8" s="582"/>
      <c r="D8" s="566"/>
      <c r="E8" s="583"/>
      <c r="F8" s="583"/>
      <c r="G8" s="584"/>
      <c r="H8" s="584"/>
      <c r="I8" s="584"/>
      <c r="J8" s="584"/>
      <c r="K8" s="584"/>
      <c r="L8" s="584"/>
      <c r="M8" s="584"/>
      <c r="N8" s="584"/>
      <c r="O8" s="584"/>
      <c r="P8" s="582"/>
      <c r="Q8" s="582"/>
    </row>
    <row r="9" spans="1:17" s="138" customFormat="1" ht="15.5">
      <c r="A9" s="521" t="s">
        <v>283</v>
      </c>
      <c r="B9" s="522"/>
      <c r="C9" s="522"/>
      <c r="D9" s="522"/>
      <c r="E9" s="523"/>
      <c r="F9" s="523"/>
      <c r="G9" s="523"/>
      <c r="H9" s="523"/>
      <c r="I9" s="523"/>
      <c r="J9" s="523"/>
      <c r="K9" s="523"/>
      <c r="L9" s="523"/>
      <c r="M9" s="524"/>
      <c r="N9" s="523"/>
      <c r="O9" s="523"/>
      <c r="P9" s="521"/>
      <c r="Q9" s="521"/>
    </row>
    <row r="10" spans="1:17" s="138" customFormat="1" ht="14" customHeight="1">
      <c r="A10" s="508" t="s">
        <v>273</v>
      </c>
      <c r="B10" s="503" t="s">
        <v>412</v>
      </c>
      <c r="C10" s="503">
        <v>1</v>
      </c>
      <c r="D10" s="503">
        <v>1</v>
      </c>
      <c r="E10" s="525">
        <v>4</v>
      </c>
      <c r="F10" s="526">
        <f>D10*E10*60</f>
        <v>240</v>
      </c>
      <c r="G10" s="527">
        <f>Personnel!Q11</f>
        <v>32.637061403508774</v>
      </c>
      <c r="H10" s="527">
        <f>C10*F10*G10</f>
        <v>7832.8947368421059</v>
      </c>
      <c r="I10" s="527">
        <v>0</v>
      </c>
      <c r="J10" s="528">
        <f>SUM(H10:I10)</f>
        <v>7832.8947368421059</v>
      </c>
      <c r="K10" s="528">
        <f>J10/G2</f>
        <v>71.208133971291872</v>
      </c>
      <c r="L10" s="506"/>
      <c r="M10" s="529"/>
      <c r="N10" s="525"/>
      <c r="O10" s="505"/>
      <c r="P10" s="504"/>
      <c r="Q10" s="504"/>
    </row>
    <row r="11" spans="1:17" s="138" customFormat="1" ht="15.5">
      <c r="A11" s="508" t="s">
        <v>274</v>
      </c>
      <c r="B11" s="503" t="s">
        <v>267</v>
      </c>
      <c r="C11" s="503">
        <v>1</v>
      </c>
      <c r="D11" s="503">
        <v>1</v>
      </c>
      <c r="E11" s="525">
        <v>5</v>
      </c>
      <c r="F11" s="526">
        <f>D11*E11*60</f>
        <v>300</v>
      </c>
      <c r="G11" s="527">
        <f>Personnel!Q10</f>
        <v>32.637061403508774</v>
      </c>
      <c r="H11" s="527">
        <f t="shared" ref="H11:H13" si="0">C11*F11*G11</f>
        <v>9791.1184210526317</v>
      </c>
      <c r="I11" s="527">
        <v>0</v>
      </c>
      <c r="J11" s="528">
        <f>SUM(H11:I11)</f>
        <v>9791.1184210526317</v>
      </c>
      <c r="K11" s="528">
        <f>J11/G2</f>
        <v>89.010167464114829</v>
      </c>
      <c r="L11" s="506"/>
      <c r="M11" s="529"/>
      <c r="N11" s="525"/>
      <c r="O11" s="506"/>
      <c r="P11" s="504"/>
      <c r="Q11" s="504"/>
    </row>
    <row r="12" spans="1:17" s="138" customFormat="1" ht="15.5">
      <c r="A12" s="508" t="s">
        <v>275</v>
      </c>
      <c r="B12" s="503" t="s">
        <v>255</v>
      </c>
      <c r="C12" s="503">
        <v>1</v>
      </c>
      <c r="D12" s="503">
        <v>1</v>
      </c>
      <c r="E12" s="525">
        <v>5</v>
      </c>
      <c r="F12" s="526">
        <f>D12*E12*60</f>
        <v>300</v>
      </c>
      <c r="G12" s="527">
        <f>Personnel!Q12</f>
        <v>29.494517543859651</v>
      </c>
      <c r="H12" s="527">
        <f t="shared" si="0"/>
        <v>8848.355263157895</v>
      </c>
      <c r="I12" s="527">
        <v>0</v>
      </c>
      <c r="J12" s="528">
        <f>SUM(H12:I12)</f>
        <v>8848.355263157895</v>
      </c>
      <c r="K12" s="528">
        <f>J12/G2</f>
        <v>80.439593301435409</v>
      </c>
      <c r="L12" s="506"/>
      <c r="M12" s="529"/>
      <c r="N12" s="525"/>
      <c r="O12" s="506"/>
      <c r="P12" s="504"/>
      <c r="Q12" s="504"/>
    </row>
    <row r="13" spans="1:17" s="138" customFormat="1" ht="15.5">
      <c r="A13" s="508" t="s">
        <v>276</v>
      </c>
      <c r="B13" s="503" t="s">
        <v>13</v>
      </c>
      <c r="C13" s="503">
        <v>1</v>
      </c>
      <c r="D13" s="503">
        <v>1</v>
      </c>
      <c r="E13" s="525">
        <v>8</v>
      </c>
      <c r="F13" s="526">
        <f>D13*E13*60</f>
        <v>480</v>
      </c>
      <c r="G13" s="528">
        <f>Personnel!Q15</f>
        <v>18.005482456140349</v>
      </c>
      <c r="H13" s="527">
        <f t="shared" si="0"/>
        <v>8642.6315789473683</v>
      </c>
      <c r="I13" s="527">
        <v>0</v>
      </c>
      <c r="J13" s="528">
        <f>SUM(H13:I13)</f>
        <v>8642.6315789473683</v>
      </c>
      <c r="K13" s="528">
        <f>J13/G2</f>
        <v>78.569377990430624</v>
      </c>
      <c r="L13" s="506"/>
      <c r="M13" s="529"/>
      <c r="N13" s="525"/>
      <c r="O13" s="506"/>
      <c r="P13" s="504"/>
      <c r="Q13" s="504"/>
    </row>
    <row r="14" spans="1:17" s="138" customFormat="1" ht="15.5">
      <c r="A14" s="530" t="s">
        <v>81</v>
      </c>
      <c r="B14" s="531"/>
      <c r="C14" s="531"/>
      <c r="D14" s="531"/>
      <c r="E14" s="532"/>
      <c r="F14" s="533"/>
      <c r="G14" s="534"/>
      <c r="H14" s="535">
        <f>SUM(H8:H13)</f>
        <v>35115</v>
      </c>
      <c r="I14" s="534"/>
      <c r="J14" s="535">
        <f>SUM(J10:J13)</f>
        <v>35115</v>
      </c>
      <c r="K14" s="535">
        <f>SUM(K10:K13)</f>
        <v>319.22727272727275</v>
      </c>
      <c r="L14" s="532"/>
      <c r="M14" s="536"/>
      <c r="N14" s="532"/>
      <c r="O14" s="532"/>
      <c r="P14" s="530"/>
      <c r="Q14" s="530"/>
    </row>
    <row r="15" spans="1:17" s="138" customFormat="1" ht="15.5">
      <c r="A15" s="521" t="s">
        <v>284</v>
      </c>
      <c r="B15" s="537"/>
      <c r="C15" s="537"/>
      <c r="D15" s="537"/>
      <c r="E15" s="538"/>
      <c r="F15" s="539"/>
      <c r="G15" s="540"/>
      <c r="H15" s="540"/>
      <c r="I15" s="541"/>
      <c r="J15" s="542"/>
      <c r="K15" s="542"/>
      <c r="L15" s="538"/>
      <c r="M15" s="543"/>
      <c r="N15" s="538"/>
      <c r="O15" s="538"/>
      <c r="P15" s="521"/>
      <c r="Q15" s="521"/>
    </row>
    <row r="16" spans="1:17" s="138" customFormat="1" ht="15.5">
      <c r="A16" s="508" t="s">
        <v>275</v>
      </c>
      <c r="B16" s="503" t="s">
        <v>255</v>
      </c>
      <c r="C16" s="503">
        <v>1</v>
      </c>
      <c r="D16" s="503">
        <v>3</v>
      </c>
      <c r="E16" s="506">
        <v>6</v>
      </c>
      <c r="F16" s="526">
        <f t="shared" ref="F16:F21" si="1">D16*E16*60</f>
        <v>1080</v>
      </c>
      <c r="G16" s="528">
        <f>Personnel!Q12</f>
        <v>29.494517543859651</v>
      </c>
      <c r="H16" s="527">
        <f t="shared" ref="H16:H21" si="2">C16*F16*G16</f>
        <v>31854.078947368424</v>
      </c>
      <c r="I16" s="527">
        <f>C16*D16*J2</f>
        <v>900</v>
      </c>
      <c r="J16" s="528">
        <f t="shared" ref="J16:J21" si="3">SUM(H16:I16)</f>
        <v>32754.078947368424</v>
      </c>
      <c r="K16" s="528">
        <f>J16/G2</f>
        <v>297.76435406698567</v>
      </c>
      <c r="L16" s="506"/>
      <c r="M16" s="529"/>
      <c r="N16" s="506"/>
      <c r="O16" s="506"/>
      <c r="P16" s="504"/>
      <c r="Q16" s="504"/>
    </row>
    <row r="17" spans="1:22" s="136" customFormat="1" ht="15.5">
      <c r="A17" s="508" t="s">
        <v>276</v>
      </c>
      <c r="B17" s="503" t="s">
        <v>13</v>
      </c>
      <c r="C17" s="503">
        <v>1</v>
      </c>
      <c r="D17" s="503">
        <v>3</v>
      </c>
      <c r="E17" s="506">
        <v>6</v>
      </c>
      <c r="F17" s="526">
        <f t="shared" si="1"/>
        <v>1080</v>
      </c>
      <c r="G17" s="528">
        <f>Personnel!Q15</f>
        <v>18.005482456140349</v>
      </c>
      <c r="H17" s="527">
        <f t="shared" si="2"/>
        <v>19445.921052631576</v>
      </c>
      <c r="I17" s="527">
        <f>C17*D17*J2</f>
        <v>900</v>
      </c>
      <c r="J17" s="528">
        <f t="shared" si="3"/>
        <v>20345.921052631576</v>
      </c>
      <c r="K17" s="528">
        <f>J17/G2</f>
        <v>184.96291866028704</v>
      </c>
      <c r="L17" s="506"/>
      <c r="M17" s="529"/>
      <c r="N17" s="506"/>
      <c r="O17" s="506"/>
      <c r="P17" s="504"/>
      <c r="Q17" s="504"/>
    </row>
    <row r="18" spans="1:22" s="136" customFormat="1" ht="15.5">
      <c r="A18" s="508" t="s">
        <v>15</v>
      </c>
      <c r="B18" s="503" t="s">
        <v>15</v>
      </c>
      <c r="C18" s="503">
        <v>3</v>
      </c>
      <c r="D18" s="503">
        <v>3</v>
      </c>
      <c r="E18" s="506">
        <v>6</v>
      </c>
      <c r="F18" s="526">
        <f t="shared" si="1"/>
        <v>1080</v>
      </c>
      <c r="G18" s="528">
        <f>Personnel!Q16</f>
        <v>12.825657894736842</v>
      </c>
      <c r="H18" s="527">
        <f t="shared" si="2"/>
        <v>41555.131578947367</v>
      </c>
      <c r="I18" s="527">
        <f>C18*D18*J2</f>
        <v>2700</v>
      </c>
      <c r="J18" s="528">
        <f t="shared" si="3"/>
        <v>44255.131578947367</v>
      </c>
      <c r="K18" s="528">
        <f>J18/G2</f>
        <v>402.31937799043061</v>
      </c>
      <c r="L18" s="506"/>
      <c r="M18" s="529"/>
      <c r="N18" s="506"/>
      <c r="O18" s="506"/>
      <c r="P18" s="504"/>
      <c r="Q18" s="504"/>
    </row>
    <row r="19" spans="1:22" s="138" customFormat="1" ht="15.5">
      <c r="A19" s="508" t="s">
        <v>14</v>
      </c>
      <c r="B19" s="503" t="s">
        <v>14</v>
      </c>
      <c r="C19" s="503">
        <v>1</v>
      </c>
      <c r="D19" s="503">
        <v>3</v>
      </c>
      <c r="E19" s="506">
        <v>6</v>
      </c>
      <c r="F19" s="526">
        <f t="shared" si="1"/>
        <v>1080</v>
      </c>
      <c r="G19" s="528">
        <f>Personnel!Q27</f>
        <v>12.825657894736842</v>
      </c>
      <c r="H19" s="527">
        <f t="shared" si="2"/>
        <v>13851.71052631579</v>
      </c>
      <c r="I19" s="527">
        <f>C19*D19*J2</f>
        <v>900</v>
      </c>
      <c r="J19" s="528">
        <f t="shared" si="3"/>
        <v>14751.71052631579</v>
      </c>
      <c r="K19" s="528">
        <f>J19/G2</f>
        <v>134.10645933014354</v>
      </c>
      <c r="L19" s="505"/>
      <c r="M19" s="529"/>
      <c r="N19" s="505"/>
      <c r="O19" s="505"/>
      <c r="P19" s="504"/>
      <c r="Q19" s="504"/>
    </row>
    <row r="20" spans="1:22" s="136" customFormat="1" ht="15.5">
      <c r="A20" s="508" t="s">
        <v>12</v>
      </c>
      <c r="B20" s="503" t="s">
        <v>12</v>
      </c>
      <c r="C20" s="503">
        <v>4</v>
      </c>
      <c r="D20" s="503">
        <v>3</v>
      </c>
      <c r="E20" s="506">
        <v>6</v>
      </c>
      <c r="F20" s="526">
        <f t="shared" si="1"/>
        <v>1080</v>
      </c>
      <c r="G20" s="528">
        <f>Personnel!Q22</f>
        <v>2.2807017543859649</v>
      </c>
      <c r="H20" s="527">
        <f t="shared" si="2"/>
        <v>9852.6315789473683</v>
      </c>
      <c r="I20" s="527">
        <f>C20*D20*J2</f>
        <v>3600</v>
      </c>
      <c r="J20" s="528">
        <f t="shared" si="3"/>
        <v>13452.631578947368</v>
      </c>
      <c r="K20" s="528">
        <f>J20/G2</f>
        <v>122.29665071770334</v>
      </c>
      <c r="L20" s="506"/>
      <c r="M20" s="529"/>
      <c r="N20" s="506"/>
      <c r="O20" s="506"/>
      <c r="P20" s="504"/>
      <c r="Q20" s="544"/>
    </row>
    <row r="21" spans="1:22" s="136" customFormat="1" ht="15.5">
      <c r="A21" s="508" t="s">
        <v>368</v>
      </c>
      <c r="B21" s="503" t="s">
        <v>411</v>
      </c>
      <c r="C21" s="503">
        <v>4</v>
      </c>
      <c r="D21" s="503">
        <v>3</v>
      </c>
      <c r="E21" s="506">
        <v>6</v>
      </c>
      <c r="F21" s="526">
        <f t="shared" si="1"/>
        <v>1080</v>
      </c>
      <c r="G21" s="528">
        <f>Personnel!Q21</f>
        <v>12.825657894736842</v>
      </c>
      <c r="H21" s="527">
        <f t="shared" si="2"/>
        <v>55406.84210526316</v>
      </c>
      <c r="I21" s="527">
        <f>C21*D21*J2</f>
        <v>3600</v>
      </c>
      <c r="J21" s="528">
        <f t="shared" si="3"/>
        <v>59006.84210526316</v>
      </c>
      <c r="K21" s="528">
        <f>J21/G2</f>
        <v>536.42583732057415</v>
      </c>
      <c r="L21" s="506"/>
      <c r="M21" s="529"/>
      <c r="N21" s="506"/>
      <c r="O21" s="506"/>
      <c r="P21" s="504"/>
      <c r="Q21" s="504"/>
    </row>
    <row r="22" spans="1:22" s="139" customFormat="1" ht="15.5">
      <c r="A22" s="530" t="s">
        <v>366</v>
      </c>
      <c r="B22" s="532"/>
      <c r="C22" s="532"/>
      <c r="D22" s="532"/>
      <c r="E22" s="532"/>
      <c r="F22" s="533"/>
      <c r="G22" s="534"/>
      <c r="H22" s="535">
        <f>SUM(H16:H21)</f>
        <v>171966.31578947368</v>
      </c>
      <c r="I22" s="534"/>
      <c r="J22" s="535">
        <f>SUM(J16:J21)</f>
        <v>184566.31578947368</v>
      </c>
      <c r="K22" s="535">
        <f>SUM(K16:K21)</f>
        <v>1677.8755980861245</v>
      </c>
      <c r="L22" s="532"/>
      <c r="M22" s="536"/>
      <c r="N22" s="532">
        <f>SUM(N10:N13)</f>
        <v>0</v>
      </c>
      <c r="O22" s="532"/>
      <c r="P22" s="545"/>
      <c r="Q22" s="545">
        <f>SUM(Q10:Q13)</f>
        <v>0</v>
      </c>
      <c r="R22" s="136"/>
      <c r="S22" s="136"/>
      <c r="T22" s="136"/>
      <c r="U22" s="136"/>
      <c r="V22" s="136"/>
    </row>
    <row r="23" spans="1:22" s="139" customFormat="1" ht="15.5">
      <c r="A23" s="530" t="s">
        <v>304</v>
      </c>
      <c r="B23" s="532"/>
      <c r="C23" s="532"/>
      <c r="D23" s="532"/>
      <c r="E23" s="532"/>
      <c r="F23" s="533"/>
      <c r="G23" s="534"/>
      <c r="H23" s="534"/>
      <c r="I23" s="534"/>
      <c r="J23" s="535">
        <f>J14+J22</f>
        <v>219681.31578947368</v>
      </c>
      <c r="K23" s="535">
        <f>SUM(K14+K22)</f>
        <v>1997.1028708133972</v>
      </c>
      <c r="L23" s="532"/>
      <c r="M23" s="536"/>
      <c r="N23" s="532"/>
      <c r="O23" s="532"/>
      <c r="P23" s="545"/>
      <c r="Q23" s="545"/>
      <c r="R23" s="136"/>
      <c r="S23" s="136"/>
      <c r="T23" s="136"/>
      <c r="U23" s="136"/>
      <c r="V23" s="136"/>
    </row>
    <row r="24" spans="1:22" s="136" customFormat="1" ht="17" customHeight="1">
      <c r="A24" s="521" t="s">
        <v>187</v>
      </c>
      <c r="B24" s="521" t="s">
        <v>249</v>
      </c>
      <c r="C24" s="521" t="s">
        <v>309</v>
      </c>
      <c r="D24" s="521" t="s">
        <v>308</v>
      </c>
      <c r="E24" s="521" t="s">
        <v>558</v>
      </c>
      <c r="F24" s="521" t="s">
        <v>310</v>
      </c>
      <c r="G24" s="521" t="s">
        <v>365</v>
      </c>
      <c r="H24" s="546" t="s">
        <v>306</v>
      </c>
      <c r="I24" s="521" t="s">
        <v>312</v>
      </c>
      <c r="J24" s="546" t="s">
        <v>439</v>
      </c>
      <c r="K24" s="521" t="s">
        <v>251</v>
      </c>
      <c r="L24" s="521" t="s">
        <v>313</v>
      </c>
      <c r="M24" s="546" t="s">
        <v>391</v>
      </c>
      <c r="N24" s="521" t="s">
        <v>306</v>
      </c>
      <c r="O24" s="521" t="s">
        <v>259</v>
      </c>
      <c r="P24" s="521"/>
      <c r="Q24" s="547"/>
    </row>
    <row r="25" spans="1:22" s="136" customFormat="1" ht="15.5">
      <c r="A25" s="548" t="s">
        <v>307</v>
      </c>
      <c r="B25" s="580"/>
      <c r="C25" s="580"/>
      <c r="D25" s="580"/>
      <c r="E25" s="580"/>
      <c r="F25" s="580"/>
      <c r="G25" s="580"/>
      <c r="H25" s="580"/>
      <c r="I25" s="580"/>
      <c r="J25" s="580"/>
      <c r="K25" s="580"/>
      <c r="L25" s="580"/>
      <c r="M25" s="581"/>
      <c r="N25" s="580"/>
      <c r="O25" s="580"/>
      <c r="P25" s="567"/>
      <c r="Q25" s="567"/>
    </row>
    <row r="26" spans="1:22" s="138" customFormat="1" ht="17.5" customHeight="1">
      <c r="A26" s="521" t="s">
        <v>284</v>
      </c>
      <c r="B26" s="538"/>
      <c r="C26" s="538"/>
      <c r="D26" s="538"/>
      <c r="E26" s="538"/>
      <c r="F26" s="538"/>
      <c r="G26" s="538"/>
      <c r="H26" s="538"/>
      <c r="I26" s="538"/>
      <c r="J26" s="538"/>
      <c r="K26" s="538"/>
      <c r="L26" s="538"/>
      <c r="M26" s="543"/>
      <c r="N26" s="538"/>
      <c r="O26" s="538"/>
      <c r="P26" s="521"/>
      <c r="Q26" s="521"/>
    </row>
    <row r="27" spans="1:22" s="138" customFormat="1" ht="16" customHeight="1">
      <c r="A27" s="508" t="s">
        <v>275</v>
      </c>
      <c r="B27" s="503" t="s">
        <v>255</v>
      </c>
      <c r="C27" s="506">
        <v>1</v>
      </c>
      <c r="D27" s="506">
        <v>3</v>
      </c>
      <c r="E27" s="506">
        <v>6</v>
      </c>
      <c r="F27" s="525">
        <f t="shared" ref="F27:F32" si="4">D27*E27*60</f>
        <v>1080</v>
      </c>
      <c r="G27" s="527">
        <f>Personnel!Q12</f>
        <v>29.494517543859651</v>
      </c>
      <c r="H27" s="527">
        <f t="shared" ref="H27:H32" si="5">C27*F27*G27</f>
        <v>31854.078947368424</v>
      </c>
      <c r="I27" s="525">
        <v>2</v>
      </c>
      <c r="J27" s="528">
        <f>I27*M2</f>
        <v>14000</v>
      </c>
      <c r="K27" s="528">
        <v>15080</v>
      </c>
      <c r="L27" s="549" t="s">
        <v>314</v>
      </c>
      <c r="M27" s="527">
        <f>C27*D27*J2</f>
        <v>900</v>
      </c>
      <c r="N27" s="528">
        <f>SUM(H27+J27+K27+M27)</f>
        <v>61834.078947368427</v>
      </c>
      <c r="O27" s="528">
        <f>N27/G2</f>
        <v>562.12799043062205</v>
      </c>
      <c r="P27" s="550"/>
      <c r="Q27" s="504"/>
    </row>
    <row r="28" spans="1:22" s="138" customFormat="1" ht="14" customHeight="1">
      <c r="A28" s="508" t="s">
        <v>276</v>
      </c>
      <c r="B28" s="503" t="s">
        <v>13</v>
      </c>
      <c r="C28" s="503">
        <v>1</v>
      </c>
      <c r="D28" s="503">
        <v>3</v>
      </c>
      <c r="E28" s="506">
        <v>6</v>
      </c>
      <c r="F28" s="525">
        <f t="shared" si="4"/>
        <v>1080</v>
      </c>
      <c r="G28" s="527">
        <f>Personnel!Q15</f>
        <v>18.005482456140349</v>
      </c>
      <c r="H28" s="527">
        <f t="shared" si="5"/>
        <v>19445.921052631576</v>
      </c>
      <c r="I28" s="525">
        <v>3</v>
      </c>
      <c r="J28" s="528">
        <f>I28*M2</f>
        <v>21000</v>
      </c>
      <c r="K28" s="528">
        <v>2000</v>
      </c>
      <c r="L28" s="549" t="s">
        <v>315</v>
      </c>
      <c r="M28" s="527">
        <f>C28*D28*J2</f>
        <v>900</v>
      </c>
      <c r="N28" s="528">
        <f>SUM(H28+J28+K28+M28)</f>
        <v>43345.921052631573</v>
      </c>
      <c r="O28" s="528">
        <f>N28/G2</f>
        <v>394.05382775119614</v>
      </c>
      <c r="P28" s="550"/>
      <c r="Q28" s="544"/>
      <c r="R28" s="140"/>
    </row>
    <row r="29" spans="1:22" s="138" customFormat="1" ht="15.5">
      <c r="A29" s="508" t="s">
        <v>15</v>
      </c>
      <c r="B29" s="503" t="s">
        <v>15</v>
      </c>
      <c r="C29" s="503">
        <v>3</v>
      </c>
      <c r="D29" s="503">
        <v>3</v>
      </c>
      <c r="E29" s="506">
        <v>6</v>
      </c>
      <c r="F29" s="525">
        <f t="shared" si="4"/>
        <v>1080</v>
      </c>
      <c r="G29" s="527">
        <f>Personnel!Q16</f>
        <v>12.825657894736842</v>
      </c>
      <c r="H29" s="527">
        <f t="shared" si="5"/>
        <v>41555.131578947367</v>
      </c>
      <c r="I29" s="506"/>
      <c r="J29" s="506"/>
      <c r="K29" s="506"/>
      <c r="L29" s="506"/>
      <c r="M29" s="527">
        <f>C29*D29*J2</f>
        <v>2700</v>
      </c>
      <c r="N29" s="528">
        <f>SUM(H29+M29)</f>
        <v>44255.131578947367</v>
      </c>
      <c r="O29" s="528">
        <f>N29/G2</f>
        <v>402.31937799043061</v>
      </c>
      <c r="P29" s="550"/>
      <c r="Q29" s="544"/>
    </row>
    <row r="30" spans="1:22" s="138" customFormat="1" ht="15.5">
      <c r="A30" s="508" t="s">
        <v>14</v>
      </c>
      <c r="B30" s="503" t="s">
        <v>14</v>
      </c>
      <c r="C30" s="503">
        <v>1</v>
      </c>
      <c r="D30" s="503">
        <v>3</v>
      </c>
      <c r="E30" s="506">
        <v>6</v>
      </c>
      <c r="F30" s="525">
        <f t="shared" si="4"/>
        <v>1080</v>
      </c>
      <c r="G30" s="527">
        <f>Personnel!Q27</f>
        <v>12.825657894736842</v>
      </c>
      <c r="H30" s="527">
        <f t="shared" si="5"/>
        <v>13851.71052631579</v>
      </c>
      <c r="I30" s="506"/>
      <c r="J30" s="506"/>
      <c r="K30" s="506"/>
      <c r="L30" s="506"/>
      <c r="M30" s="527">
        <f>C30*D30*J2</f>
        <v>900</v>
      </c>
      <c r="N30" s="528">
        <f>SUM(H30+M30)</f>
        <v>14751.71052631579</v>
      </c>
      <c r="O30" s="528">
        <f>N30/G2</f>
        <v>134.10645933014354</v>
      </c>
      <c r="P30" s="550"/>
      <c r="Q30" s="544"/>
    </row>
    <row r="31" spans="1:22" s="138" customFormat="1" ht="15.5">
      <c r="A31" s="508" t="s">
        <v>12</v>
      </c>
      <c r="B31" s="503" t="s">
        <v>12</v>
      </c>
      <c r="C31" s="503">
        <v>4</v>
      </c>
      <c r="D31" s="503">
        <v>3</v>
      </c>
      <c r="E31" s="506">
        <v>6</v>
      </c>
      <c r="F31" s="525">
        <f t="shared" si="4"/>
        <v>1080</v>
      </c>
      <c r="G31" s="527">
        <f>Personnel!Q22</f>
        <v>2.2807017543859649</v>
      </c>
      <c r="H31" s="527">
        <f t="shared" si="5"/>
        <v>9852.6315789473683</v>
      </c>
      <c r="I31" s="506"/>
      <c r="J31" s="506"/>
      <c r="K31" s="506"/>
      <c r="L31" s="506"/>
      <c r="M31" s="527">
        <f>C31*D31*J2</f>
        <v>3600</v>
      </c>
      <c r="N31" s="528">
        <f t="shared" ref="N31:N32" si="6">SUM(H31+M31)</f>
        <v>13452.631578947368</v>
      </c>
      <c r="O31" s="528">
        <f>N31/G2</f>
        <v>122.29665071770334</v>
      </c>
      <c r="P31" s="550"/>
      <c r="Q31" s="544"/>
    </row>
    <row r="32" spans="1:22" s="138" customFormat="1" ht="15.5">
      <c r="A32" s="508" t="s">
        <v>367</v>
      </c>
      <c r="B32" s="503" t="s">
        <v>411</v>
      </c>
      <c r="C32" s="503">
        <v>4</v>
      </c>
      <c r="D32" s="503">
        <v>3</v>
      </c>
      <c r="E32" s="506">
        <v>6</v>
      </c>
      <c r="F32" s="525">
        <f t="shared" si="4"/>
        <v>1080</v>
      </c>
      <c r="G32" s="527">
        <f>Personnel!Q29</f>
        <v>12.825657894736842</v>
      </c>
      <c r="H32" s="527">
        <f t="shared" si="5"/>
        <v>55406.84210526316</v>
      </c>
      <c r="I32" s="506"/>
      <c r="J32" s="506"/>
      <c r="K32" s="506"/>
      <c r="L32" s="506"/>
      <c r="M32" s="527">
        <f>C32*D32*J2</f>
        <v>3600</v>
      </c>
      <c r="N32" s="528">
        <f t="shared" si="6"/>
        <v>59006.84210526316</v>
      </c>
      <c r="O32" s="528">
        <f>N32/G2</f>
        <v>536.42583732057415</v>
      </c>
      <c r="P32" s="550"/>
      <c r="Q32" s="544"/>
    </row>
    <row r="33" spans="1:17" s="138" customFormat="1" ht="15.5">
      <c r="A33" s="530" t="s">
        <v>305</v>
      </c>
      <c r="B33" s="532"/>
      <c r="C33" s="532"/>
      <c r="D33" s="532"/>
      <c r="E33" s="532"/>
      <c r="F33" s="532"/>
      <c r="G33" s="534"/>
      <c r="H33" s="535">
        <f>SUM(H27:H32)</f>
        <v>171966.31578947368</v>
      </c>
      <c r="I33" s="532"/>
      <c r="J33" s="532"/>
      <c r="K33" s="532"/>
      <c r="L33" s="532"/>
      <c r="M33" s="551"/>
      <c r="N33" s="535">
        <f>SUM(N27:N32)</f>
        <v>236646.31578947365</v>
      </c>
      <c r="O33" s="535">
        <f>SUM(O27:O32)</f>
        <v>2151.3301435406702</v>
      </c>
      <c r="P33" s="552"/>
      <c r="Q33" s="553"/>
    </row>
    <row r="34" spans="1:17" s="136" customFormat="1" ht="17" customHeight="1">
      <c r="A34" s="521" t="s">
        <v>386</v>
      </c>
      <c r="B34" s="738" t="s">
        <v>559</v>
      </c>
      <c r="C34" s="739"/>
      <c r="D34" s="740" t="s">
        <v>389</v>
      </c>
      <c r="E34" s="741"/>
      <c r="F34" s="538"/>
      <c r="G34" s="738"/>
      <c r="H34" s="739"/>
      <c r="I34" s="738"/>
      <c r="J34" s="739"/>
      <c r="K34" s="538"/>
      <c r="L34" s="538"/>
      <c r="M34" s="543"/>
      <c r="N34" s="538"/>
      <c r="O34" s="538"/>
      <c r="P34" s="547"/>
      <c r="Q34" s="547"/>
    </row>
    <row r="35" spans="1:17" s="35" customFormat="1" ht="15.5">
      <c r="A35" s="171"/>
      <c r="B35" s="433" t="s">
        <v>233</v>
      </c>
      <c r="C35" s="433" t="s">
        <v>32</v>
      </c>
      <c r="D35" s="433" t="s">
        <v>233</v>
      </c>
      <c r="E35" s="433" t="s">
        <v>32</v>
      </c>
      <c r="F35" s="171"/>
      <c r="G35" s="171"/>
      <c r="H35" s="171"/>
      <c r="I35" s="171"/>
      <c r="J35" s="171"/>
      <c r="K35" s="171"/>
      <c r="L35" s="171"/>
      <c r="M35" s="449"/>
      <c r="N35" s="199"/>
      <c r="O35" s="199"/>
      <c r="P35" s="199"/>
      <c r="Q35" s="199"/>
    </row>
    <row r="36" spans="1:17" s="136" customFormat="1" ht="15.5">
      <c r="A36" s="504" t="s">
        <v>10</v>
      </c>
      <c r="B36" s="342">
        <f>J23</f>
        <v>219681.31578947368</v>
      </c>
      <c r="C36" s="342">
        <f>B36/G2</f>
        <v>1997.102870813397</v>
      </c>
      <c r="D36" s="342">
        <f>B36/B40</f>
        <v>3994.205741626794</v>
      </c>
      <c r="E36" s="342">
        <f>D36/G2</f>
        <v>36.310961287516307</v>
      </c>
      <c r="F36" s="555"/>
      <c r="G36" s="342"/>
      <c r="H36" s="342"/>
      <c r="I36" s="342"/>
      <c r="J36" s="342"/>
      <c r="K36" s="556"/>
      <c r="L36" s="556"/>
      <c r="M36" s="507"/>
      <c r="N36" s="506"/>
      <c r="O36" s="506"/>
      <c r="P36" s="508"/>
      <c r="Q36" s="508"/>
    </row>
    <row r="37" spans="1:17" s="136" customFormat="1" ht="15.5">
      <c r="A37" s="504" t="s">
        <v>307</v>
      </c>
      <c r="B37" s="342">
        <f>N33</f>
        <v>236646.31578947365</v>
      </c>
      <c r="C37" s="342">
        <f>B37/G2</f>
        <v>2151.3301435406697</v>
      </c>
      <c r="D37" s="342">
        <f>B37/B41</f>
        <v>3480.0928792569653</v>
      </c>
      <c r="E37" s="342">
        <f>D37/G2</f>
        <v>31.637207993245138</v>
      </c>
      <c r="F37" s="555"/>
      <c r="G37" s="342"/>
      <c r="H37" s="342"/>
      <c r="I37" s="342"/>
      <c r="J37" s="342"/>
      <c r="K37" s="556"/>
      <c r="L37" s="556"/>
      <c r="M37" s="507"/>
      <c r="N37" s="506"/>
      <c r="O37" s="506"/>
      <c r="P37" s="508"/>
      <c r="Q37" s="508"/>
    </row>
    <row r="38" spans="1:17" s="136" customFormat="1" ht="15.5">
      <c r="A38" s="521" t="s">
        <v>415</v>
      </c>
      <c r="B38" s="591">
        <f>SUM(B36:B37)</f>
        <v>456327.6315789473</v>
      </c>
      <c r="C38" s="591">
        <f>SUM(C36:C37)</f>
        <v>4148.4330143540665</v>
      </c>
      <c r="D38" s="591">
        <f>SUM(D36:D37)</f>
        <v>7474.2986208837592</v>
      </c>
      <c r="E38" s="591">
        <f>SUM(E36:E37)</f>
        <v>67.948169280761448</v>
      </c>
      <c r="F38" s="557"/>
      <c r="G38" s="591"/>
      <c r="H38" s="591"/>
      <c r="I38" s="591"/>
      <c r="J38" s="591"/>
      <c r="K38" s="558"/>
      <c r="L38" s="558"/>
      <c r="M38" s="543"/>
      <c r="N38" s="538"/>
      <c r="O38" s="538"/>
      <c r="P38" s="547"/>
      <c r="Q38" s="547"/>
    </row>
    <row r="39" spans="1:17" s="136" customFormat="1" ht="15.5">
      <c r="A39" s="521" t="s">
        <v>377</v>
      </c>
      <c r="B39" s="579" t="s">
        <v>23</v>
      </c>
      <c r="C39" s="579" t="s">
        <v>382</v>
      </c>
      <c r="D39" s="557"/>
      <c r="E39" s="557"/>
      <c r="F39" s="557"/>
      <c r="G39" s="558"/>
      <c r="H39" s="558"/>
      <c r="I39" s="558"/>
      <c r="J39" s="558"/>
      <c r="K39" s="558"/>
      <c r="L39" s="558"/>
      <c r="M39" s="543"/>
      <c r="N39" s="538"/>
      <c r="O39" s="538"/>
      <c r="P39" s="547"/>
      <c r="Q39" s="547"/>
    </row>
    <row r="40" spans="1:17" s="136" customFormat="1" ht="15.5">
      <c r="A40" s="508" t="s">
        <v>10</v>
      </c>
      <c r="B40" s="554">
        <f>Personnel!H33</f>
        <v>55</v>
      </c>
      <c r="C40" s="609">
        <v>0.45</v>
      </c>
      <c r="D40" s="555"/>
      <c r="E40" s="555"/>
      <c r="F40" s="555"/>
      <c r="G40" s="556"/>
      <c r="H40" s="556"/>
      <c r="I40" s="556"/>
      <c r="J40" s="556"/>
      <c r="K40" s="556"/>
      <c r="L40" s="556"/>
      <c r="M40" s="507"/>
      <c r="N40" s="506"/>
      <c r="O40" s="506"/>
      <c r="P40" s="508"/>
      <c r="Q40" s="508"/>
    </row>
    <row r="41" spans="1:17" s="136" customFormat="1" ht="15.5">
      <c r="A41" s="508" t="s">
        <v>19</v>
      </c>
      <c r="B41" s="554">
        <f>Personnel!H34</f>
        <v>68</v>
      </c>
      <c r="C41" s="609">
        <v>0.55000000000000004</v>
      </c>
      <c r="D41" s="555"/>
      <c r="E41" s="555"/>
      <c r="F41" s="555"/>
      <c r="G41" s="556"/>
      <c r="H41" s="556"/>
      <c r="I41" s="556"/>
      <c r="J41" s="556"/>
      <c r="K41" s="556"/>
      <c r="L41" s="556"/>
      <c r="M41" s="507"/>
      <c r="N41" s="506"/>
      <c r="O41" s="506"/>
      <c r="P41" s="508"/>
      <c r="Q41" s="508"/>
    </row>
    <row r="42" spans="1:17" s="136" customFormat="1" ht="15.5">
      <c r="A42" s="508" t="s">
        <v>358</v>
      </c>
      <c r="B42" s="554">
        <f>SUM(B40:B41)</f>
        <v>123</v>
      </c>
      <c r="C42" s="342">
        <f>SUM(C40:C41)</f>
        <v>1</v>
      </c>
      <c r="D42" s="555"/>
      <c r="E42" s="555"/>
      <c r="F42" s="555"/>
      <c r="G42" s="556"/>
      <c r="H42" s="556"/>
      <c r="I42" s="556"/>
      <c r="J42" s="556"/>
      <c r="K42" s="556"/>
      <c r="L42" s="556"/>
      <c r="M42" s="507"/>
      <c r="N42" s="506"/>
      <c r="O42" s="506"/>
      <c r="P42" s="508"/>
      <c r="Q42" s="508"/>
    </row>
    <row r="43" spans="1:17" s="136" customFormat="1" ht="15.5">
      <c r="A43" s="521" t="s">
        <v>495</v>
      </c>
      <c r="B43" s="742" t="s">
        <v>559</v>
      </c>
      <c r="C43" s="743"/>
      <c r="D43" s="742" t="s">
        <v>389</v>
      </c>
      <c r="E43" s="743"/>
      <c r="F43" s="557"/>
      <c r="G43" s="736"/>
      <c r="H43" s="737"/>
      <c r="I43" s="736"/>
      <c r="J43" s="737"/>
      <c r="K43" s="558"/>
      <c r="L43" s="558"/>
      <c r="M43" s="543"/>
      <c r="N43" s="538"/>
      <c r="O43" s="538"/>
      <c r="P43" s="547"/>
      <c r="Q43" s="547"/>
    </row>
    <row r="44" spans="1:17" s="136" customFormat="1" ht="15.5">
      <c r="A44" s="547"/>
      <c r="B44" s="559" t="s">
        <v>233</v>
      </c>
      <c r="C44" s="559" t="s">
        <v>32</v>
      </c>
      <c r="D44" s="559" t="s">
        <v>233</v>
      </c>
      <c r="E44" s="559" t="s">
        <v>32</v>
      </c>
      <c r="F44" s="539"/>
      <c r="G44" s="521"/>
      <c r="H44" s="521"/>
      <c r="I44" s="521"/>
      <c r="J44" s="521"/>
      <c r="K44" s="538"/>
      <c r="L44" s="538"/>
      <c r="M44" s="543"/>
      <c r="N44" s="538"/>
      <c r="O44" s="547"/>
      <c r="P44" s="547"/>
      <c r="Q44" s="547"/>
    </row>
    <row r="45" spans="1:17" s="136" customFormat="1" ht="15.5">
      <c r="A45" s="508" t="s">
        <v>381</v>
      </c>
      <c r="B45" s="571">
        <v>5</v>
      </c>
      <c r="C45" s="571"/>
      <c r="D45" s="571">
        <v>5</v>
      </c>
      <c r="E45" s="571"/>
      <c r="F45" s="572"/>
      <c r="G45" s="573"/>
      <c r="H45" s="573"/>
      <c r="I45" s="608"/>
      <c r="J45" s="573"/>
      <c r="K45" s="574"/>
      <c r="L45" s="574"/>
      <c r="M45" s="575"/>
      <c r="N45" s="576"/>
      <c r="O45" s="576"/>
      <c r="P45" s="576"/>
      <c r="Q45" s="576"/>
    </row>
    <row r="46" spans="1:17" s="136" customFormat="1" ht="15.5">
      <c r="A46" s="508" t="s">
        <v>502</v>
      </c>
      <c r="B46" s="571">
        <v>4.58</v>
      </c>
      <c r="C46" s="571"/>
      <c r="D46" s="571">
        <v>4.58</v>
      </c>
      <c r="E46" s="571"/>
      <c r="F46" s="577"/>
      <c r="G46" s="573"/>
      <c r="H46" s="573"/>
      <c r="I46" s="608"/>
      <c r="J46" s="573"/>
      <c r="K46" s="578"/>
      <c r="L46" s="578"/>
      <c r="M46" s="575"/>
      <c r="N46" s="576"/>
      <c r="O46" s="576"/>
      <c r="P46" s="576"/>
      <c r="Q46" s="576"/>
    </row>
    <row r="47" spans="1:17" s="136" customFormat="1" ht="15.5">
      <c r="A47" s="508" t="s">
        <v>503</v>
      </c>
      <c r="B47" s="560">
        <f>B36/B46</f>
        <v>47965.352792461505</v>
      </c>
      <c r="C47" s="560">
        <f>B47/G2</f>
        <v>436.04866174965002</v>
      </c>
      <c r="D47" s="560">
        <f>D36/D46</f>
        <v>872.09732349929993</v>
      </c>
      <c r="E47" s="560">
        <f>D47/G2</f>
        <v>7.9281574863572724</v>
      </c>
      <c r="F47" s="568"/>
      <c r="G47" s="607"/>
      <c r="H47" s="560"/>
      <c r="I47" s="607"/>
      <c r="J47" s="560"/>
      <c r="K47" s="569"/>
      <c r="L47" s="569"/>
      <c r="M47" s="570"/>
      <c r="N47" s="567"/>
      <c r="O47" s="567"/>
      <c r="P47" s="567"/>
      <c r="Q47" s="567"/>
    </row>
    <row r="48" spans="1:17" s="136" customFormat="1" ht="15.5">
      <c r="A48" s="508" t="s">
        <v>504</v>
      </c>
      <c r="B48" s="560">
        <f>B37/B46</f>
        <v>51669.501264077218</v>
      </c>
      <c r="C48" s="560">
        <f>B48/G2</f>
        <v>469.72273876433837</v>
      </c>
      <c r="D48" s="560">
        <f>D37/D46</f>
        <v>759.84560682466486</v>
      </c>
      <c r="E48" s="560">
        <f>D48/G2</f>
        <v>6.9076873347696806</v>
      </c>
      <c r="F48" s="568"/>
      <c r="G48" s="607"/>
      <c r="H48" s="560"/>
      <c r="I48" s="607"/>
      <c r="J48" s="560"/>
      <c r="K48" s="569"/>
      <c r="L48" s="569"/>
      <c r="M48" s="570"/>
      <c r="N48" s="567"/>
      <c r="O48" s="567"/>
      <c r="P48" s="567"/>
      <c r="Q48" s="567"/>
    </row>
    <row r="49" spans="1:17" s="136" customFormat="1" ht="15.5">
      <c r="A49" s="561" t="s">
        <v>505</v>
      </c>
      <c r="B49" s="562">
        <f>SUM(B47:B48)</f>
        <v>99634.854056538723</v>
      </c>
      <c r="C49" s="562">
        <f>SUM(C47:C48)</f>
        <v>905.7714005139884</v>
      </c>
      <c r="D49" s="562">
        <f>SUM(D47:D48)</f>
        <v>1631.9429303239649</v>
      </c>
      <c r="E49" s="562">
        <f>SUM(E47:E48)</f>
        <v>14.835844821126953</v>
      </c>
      <c r="F49" s="563"/>
      <c r="G49" s="562"/>
      <c r="H49" s="562"/>
      <c r="I49" s="562"/>
      <c r="J49" s="562"/>
      <c r="K49" s="564"/>
      <c r="L49" s="564"/>
      <c r="M49" s="565"/>
      <c r="N49" s="545"/>
      <c r="O49" s="545"/>
      <c r="P49" s="545"/>
      <c r="Q49" s="545"/>
    </row>
    <row r="50" spans="1:17" s="136" customFormat="1" ht="14">
      <c r="A50" s="141" t="s">
        <v>311</v>
      </c>
      <c r="B50" s="142"/>
      <c r="C50" s="142"/>
      <c r="D50" s="142"/>
      <c r="E50" s="142"/>
      <c r="F50" s="142"/>
      <c r="G50" s="142"/>
      <c r="H50" s="142"/>
      <c r="I50" s="142"/>
      <c r="J50" s="142"/>
      <c r="K50" s="142"/>
      <c r="L50" s="142"/>
      <c r="M50" s="143"/>
      <c r="N50" s="142"/>
    </row>
    <row r="51" spans="1:17" s="136" customFormat="1" ht="14" customHeight="1">
      <c r="A51" s="144" t="s">
        <v>414</v>
      </c>
      <c r="B51" s="145"/>
      <c r="C51" s="145"/>
      <c r="D51" s="145"/>
      <c r="E51" s="145"/>
      <c r="F51" s="145"/>
      <c r="G51" s="145"/>
      <c r="H51" s="145"/>
      <c r="I51" s="145"/>
      <c r="J51" s="145"/>
      <c r="K51" s="145"/>
      <c r="L51" s="145"/>
      <c r="M51" s="143"/>
      <c r="N51" s="142"/>
    </row>
    <row r="52" spans="1:17" s="136" customFormat="1" ht="14">
      <c r="A52" s="144" t="s">
        <v>413</v>
      </c>
      <c r="B52" s="146"/>
      <c r="C52" s="146"/>
      <c r="D52" s="146"/>
      <c r="E52" s="146"/>
      <c r="F52" s="146"/>
      <c r="G52" s="146"/>
      <c r="H52" s="146"/>
      <c r="I52" s="146"/>
      <c r="J52" s="146"/>
      <c r="K52" s="146"/>
      <c r="L52" s="146"/>
      <c r="M52" s="147"/>
      <c r="N52" s="146"/>
    </row>
  </sheetData>
  <mergeCells count="8">
    <mergeCell ref="I43:J43"/>
    <mergeCell ref="G34:H34"/>
    <mergeCell ref="I34:J34"/>
    <mergeCell ref="B34:C34"/>
    <mergeCell ref="D34:E34"/>
    <mergeCell ref="B43:C43"/>
    <mergeCell ref="D43:E43"/>
    <mergeCell ref="G43:H4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7"/>
  <sheetViews>
    <sheetView topLeftCell="B39" zoomScaleNormal="100" workbookViewId="0">
      <selection activeCell="C50" sqref="C50"/>
    </sheetView>
  </sheetViews>
  <sheetFormatPr defaultColWidth="9.1796875" defaultRowHeight="12.5"/>
  <cols>
    <col min="1" max="1" width="57.1796875" style="11" customWidth="1"/>
    <col min="2" max="2" width="26.26953125" style="12" customWidth="1"/>
    <col min="3" max="3" width="32.1796875" style="12" customWidth="1"/>
    <col min="4" max="4" width="51.90625" style="12" customWidth="1"/>
    <col min="5" max="5" width="56" style="12" customWidth="1"/>
    <col min="6" max="6" width="19.7265625" style="12" customWidth="1"/>
    <col min="7" max="7" width="21.54296875" style="11" customWidth="1"/>
    <col min="8" max="8" width="18.1796875" style="11" customWidth="1"/>
    <col min="9" max="9" width="22.90625" style="11" customWidth="1"/>
    <col min="10" max="10" width="32.26953125" style="11" customWidth="1"/>
    <col min="11" max="11" width="31.7265625" style="11" customWidth="1"/>
    <col min="12" max="16384" width="9.1796875" style="11"/>
  </cols>
  <sheetData>
    <row r="1" spans="1:12" s="8" customFormat="1" ht="15.5">
      <c r="A1" s="286" t="s">
        <v>374</v>
      </c>
      <c r="B1" s="752"/>
      <c r="C1" s="752"/>
      <c r="D1" s="752"/>
      <c r="E1" s="752"/>
      <c r="F1" s="752"/>
      <c r="G1" s="752"/>
      <c r="H1" s="286"/>
      <c r="I1" s="291"/>
      <c r="J1" s="291"/>
      <c r="K1" s="291"/>
    </row>
    <row r="2" spans="1:12" s="8" customFormat="1" ht="15.5">
      <c r="A2" s="286" t="s">
        <v>277</v>
      </c>
      <c r="B2" s="752"/>
      <c r="C2" s="752"/>
      <c r="D2" s="752"/>
      <c r="E2" s="752"/>
      <c r="F2" s="752"/>
      <c r="G2" s="752"/>
      <c r="H2" s="291"/>
      <c r="I2" s="299"/>
      <c r="J2" s="291"/>
      <c r="K2" s="291"/>
    </row>
    <row r="3" spans="1:12" s="8" customFormat="1" ht="15.5">
      <c r="A3" s="286"/>
      <c r="B3" s="355"/>
      <c r="C3" s="355"/>
      <c r="D3" s="355"/>
      <c r="E3" s="355"/>
      <c r="F3" s="355" t="s">
        <v>32</v>
      </c>
      <c r="G3" s="473" t="s">
        <v>233</v>
      </c>
      <c r="H3" s="291"/>
      <c r="I3" s="287"/>
      <c r="J3" s="291"/>
      <c r="K3" s="291"/>
    </row>
    <row r="4" spans="1:12" s="8" customFormat="1" ht="15.5">
      <c r="A4" s="154" t="s">
        <v>3</v>
      </c>
      <c r="B4" s="158" t="s">
        <v>4</v>
      </c>
      <c r="C4" s="159"/>
      <c r="D4" s="154"/>
      <c r="E4" s="154"/>
      <c r="F4" s="154">
        <v>1</v>
      </c>
      <c r="G4" s="154">
        <v>110</v>
      </c>
      <c r="H4" s="203" t="s">
        <v>372</v>
      </c>
      <c r="I4" s="154"/>
      <c r="J4" s="175"/>
      <c r="K4" s="154"/>
    </row>
    <row r="5" spans="1:12" s="8" customFormat="1" ht="14.15" customHeight="1">
      <c r="A5" s="154" t="s">
        <v>5</v>
      </c>
      <c r="B5" s="158" t="s">
        <v>438</v>
      </c>
      <c r="C5" s="159"/>
      <c r="D5" s="154"/>
      <c r="E5" s="154"/>
      <c r="F5" s="154"/>
      <c r="G5" s="154"/>
      <c r="H5" s="154" t="s">
        <v>233</v>
      </c>
      <c r="I5" s="154" t="s">
        <v>32</v>
      </c>
      <c r="J5" s="175"/>
      <c r="K5" s="154"/>
    </row>
    <row r="6" spans="1:12" s="8" customFormat="1" ht="14.15" customHeight="1">
      <c r="A6" s="154" t="s">
        <v>6</v>
      </c>
      <c r="B6" s="159"/>
      <c r="C6" s="158">
        <v>8</v>
      </c>
      <c r="D6" s="154"/>
      <c r="E6" s="154"/>
      <c r="F6" s="154"/>
      <c r="G6" s="154"/>
      <c r="H6" s="191">
        <v>300</v>
      </c>
      <c r="I6" s="191">
        <f>H6/G4</f>
        <v>2.7272727272727271</v>
      </c>
      <c r="J6" s="175"/>
      <c r="K6" s="421"/>
    </row>
    <row r="7" spans="1:12" s="8" customFormat="1" ht="15" customHeight="1">
      <c r="A7" s="158" t="s">
        <v>7</v>
      </c>
      <c r="B7" s="753" t="s">
        <v>235</v>
      </c>
      <c r="C7" s="753"/>
      <c r="D7" s="753"/>
      <c r="E7" s="753"/>
      <c r="F7" s="753"/>
      <c r="G7" s="753"/>
      <c r="H7" s="754" t="s">
        <v>540</v>
      </c>
      <c r="I7" s="755"/>
      <c r="J7" s="756"/>
      <c r="K7" s="154"/>
    </row>
    <row r="8" spans="1:12" s="8" customFormat="1" ht="15" customHeight="1">
      <c r="A8" s="155"/>
      <c r="B8" s="421"/>
      <c r="C8" s="421"/>
      <c r="D8" s="421"/>
      <c r="E8" s="421"/>
      <c r="F8" s="421"/>
      <c r="G8" s="421"/>
      <c r="H8" s="154" t="s">
        <v>233</v>
      </c>
      <c r="I8" s="154" t="s">
        <v>32</v>
      </c>
      <c r="J8" s="154"/>
      <c r="K8" s="154"/>
    </row>
    <row r="9" spans="1:12" s="8" customFormat="1" ht="15" customHeight="1">
      <c r="A9" s="155"/>
      <c r="B9" s="421"/>
      <c r="C9" s="421"/>
      <c r="D9" s="421"/>
      <c r="E9" s="421"/>
      <c r="F9" s="421"/>
      <c r="G9" s="421"/>
      <c r="H9" s="212">
        <v>300</v>
      </c>
      <c r="I9" s="212">
        <f>H9/G4</f>
        <v>2.7272727272727271</v>
      </c>
      <c r="J9" s="154"/>
      <c r="K9" s="154"/>
    </row>
    <row r="10" spans="1:12" s="8" customFormat="1" ht="31" customHeight="1">
      <c r="A10" s="160"/>
      <c r="B10" s="160" t="s">
        <v>427</v>
      </c>
      <c r="C10" s="160" t="s">
        <v>428</v>
      </c>
      <c r="D10" s="160" t="s">
        <v>423</v>
      </c>
      <c r="E10" s="160" t="s">
        <v>424</v>
      </c>
      <c r="F10" s="160"/>
      <c r="G10" s="160"/>
      <c r="H10" s="160"/>
      <c r="I10" s="163"/>
      <c r="J10" s="474"/>
      <c r="K10" s="433"/>
    </row>
    <row r="11" spans="1:12" s="9" customFormat="1" ht="15.5">
      <c r="A11" s="192" t="s">
        <v>420</v>
      </c>
      <c r="B11" s="475" t="s">
        <v>2</v>
      </c>
      <c r="C11" s="475" t="s">
        <v>2</v>
      </c>
      <c r="D11" s="475">
        <v>1</v>
      </c>
      <c r="E11" s="476">
        <v>1</v>
      </c>
      <c r="F11" s="477"/>
      <c r="G11" s="478"/>
      <c r="H11" s="479"/>
      <c r="I11" s="475"/>
      <c r="J11" s="480"/>
      <c r="K11" s="176"/>
    </row>
    <row r="12" spans="1:12" s="13" customFormat="1" ht="15.5">
      <c r="A12" s="748" t="s">
        <v>0</v>
      </c>
      <c r="B12" s="750" t="s">
        <v>421</v>
      </c>
      <c r="C12" s="750" t="s">
        <v>422</v>
      </c>
      <c r="D12" s="750" t="s">
        <v>252</v>
      </c>
      <c r="E12" s="757" t="s">
        <v>253</v>
      </c>
      <c r="F12" s="481"/>
      <c r="G12" s="482"/>
      <c r="H12" s="759" t="s">
        <v>392</v>
      </c>
      <c r="I12" s="750" t="s">
        <v>391</v>
      </c>
      <c r="J12" s="744" t="s">
        <v>425</v>
      </c>
      <c r="K12" s="744" t="s">
        <v>426</v>
      </c>
    </row>
    <row r="13" spans="1:12" s="13" customFormat="1" ht="14.5" customHeight="1">
      <c r="A13" s="749"/>
      <c r="B13" s="751"/>
      <c r="C13" s="751"/>
      <c r="D13" s="751"/>
      <c r="E13" s="758"/>
      <c r="F13" s="483" t="s">
        <v>365</v>
      </c>
      <c r="G13" s="173" t="s">
        <v>585</v>
      </c>
      <c r="H13" s="760"/>
      <c r="I13" s="751"/>
      <c r="J13" s="745"/>
      <c r="K13" s="745"/>
    </row>
    <row r="14" spans="1:12" s="14" customFormat="1" ht="15.5">
      <c r="A14" s="174" t="s">
        <v>10</v>
      </c>
      <c r="B14" s="465"/>
      <c r="C14" s="465"/>
      <c r="D14" s="459"/>
      <c r="E14" s="465"/>
      <c r="F14" s="484"/>
      <c r="G14" s="485"/>
      <c r="H14" s="486"/>
      <c r="I14" s="486"/>
      <c r="J14" s="486"/>
      <c r="K14" s="486"/>
      <c r="L14" s="11"/>
    </row>
    <row r="15" spans="1:12" ht="31">
      <c r="A15" s="178" t="s">
        <v>429</v>
      </c>
      <c r="B15" s="179">
        <v>1</v>
      </c>
      <c r="C15" s="333" t="s">
        <v>280</v>
      </c>
      <c r="D15" s="180">
        <v>2</v>
      </c>
      <c r="E15" s="179">
        <f>D15*60</f>
        <v>120</v>
      </c>
      <c r="F15" s="181">
        <f>Personnel!Q14</f>
        <v>14.470394736842106</v>
      </c>
      <c r="G15" s="182">
        <f>B15*E15*F15</f>
        <v>1736.4473684210527</v>
      </c>
      <c r="H15" s="310">
        <v>0</v>
      </c>
      <c r="I15" s="310">
        <f>H9</f>
        <v>300</v>
      </c>
      <c r="J15" s="181">
        <f>SUM(G15+H15+I15)</f>
        <v>2036.4473684210527</v>
      </c>
      <c r="K15" s="181">
        <f>J15/G4</f>
        <v>18.513157894736842</v>
      </c>
    </row>
    <row r="16" spans="1:12" ht="15.5">
      <c r="A16" s="178"/>
      <c r="B16" s="179">
        <v>4</v>
      </c>
      <c r="C16" s="333" t="s">
        <v>12</v>
      </c>
      <c r="D16" s="180">
        <v>2</v>
      </c>
      <c r="E16" s="179">
        <f>D16*60</f>
        <v>120</v>
      </c>
      <c r="F16" s="181">
        <f>Personnel!Q22</f>
        <v>2.2807017543859649</v>
      </c>
      <c r="G16" s="182">
        <f>B16*E16*F16</f>
        <v>1094.7368421052631</v>
      </c>
      <c r="H16" s="310">
        <f>B16*H6</f>
        <v>1200</v>
      </c>
      <c r="I16" s="310">
        <f>B16*H9</f>
        <v>1200</v>
      </c>
      <c r="J16" s="181">
        <f t="shared" ref="J16:J18" si="0">SUM(G16+H16+I16)</f>
        <v>3494.7368421052633</v>
      </c>
      <c r="K16" s="181">
        <f>J16/G4</f>
        <v>31.770334928229666</v>
      </c>
    </row>
    <row r="17" spans="1:11" ht="15.5">
      <c r="A17" s="178"/>
      <c r="B17" s="179">
        <v>1</v>
      </c>
      <c r="C17" s="333" t="s">
        <v>17</v>
      </c>
      <c r="D17" s="180">
        <v>2</v>
      </c>
      <c r="E17" s="179">
        <f>D17*60</f>
        <v>120</v>
      </c>
      <c r="F17" s="181">
        <f>Personnel!Q16</f>
        <v>12.825657894736842</v>
      </c>
      <c r="G17" s="182">
        <f>B17*E17*F17</f>
        <v>1539.078947368421</v>
      </c>
      <c r="H17" s="310">
        <v>0</v>
      </c>
      <c r="I17" s="310">
        <f>H9</f>
        <v>300</v>
      </c>
      <c r="J17" s="181">
        <f t="shared" si="0"/>
        <v>1839.078947368421</v>
      </c>
      <c r="K17" s="181">
        <f>J17/G4</f>
        <v>16.7188995215311</v>
      </c>
    </row>
    <row r="18" spans="1:11" ht="15.5">
      <c r="A18" s="178"/>
      <c r="B18" s="179">
        <v>1</v>
      </c>
      <c r="C18" s="333" t="s">
        <v>13</v>
      </c>
      <c r="D18" s="180">
        <v>2</v>
      </c>
      <c r="E18" s="179">
        <f>D18*60</f>
        <v>120</v>
      </c>
      <c r="F18" s="181">
        <f>Personnel!Q15</f>
        <v>18.005482456140349</v>
      </c>
      <c r="G18" s="182">
        <f>B18*E18*F18</f>
        <v>2160.6578947368421</v>
      </c>
      <c r="H18" s="310">
        <v>0</v>
      </c>
      <c r="I18" s="310">
        <f>H9</f>
        <v>300</v>
      </c>
      <c r="J18" s="181">
        <f t="shared" si="0"/>
        <v>2460.6578947368421</v>
      </c>
      <c r="K18" s="181">
        <f>J18/G4</f>
        <v>22.369617224880383</v>
      </c>
    </row>
    <row r="19" spans="1:11" ht="15.5">
      <c r="A19" s="184" t="s">
        <v>256</v>
      </c>
      <c r="B19" s="179"/>
      <c r="C19" s="333"/>
      <c r="D19" s="180"/>
      <c r="E19" s="179"/>
      <c r="F19" s="181"/>
      <c r="G19" s="182"/>
      <c r="H19" s="310"/>
      <c r="I19" s="310"/>
      <c r="J19" s="185">
        <f>SUM(J15:J18)</f>
        <v>9830.9210526315783</v>
      </c>
      <c r="K19" s="185">
        <f>SUM(K15:K18)</f>
        <v>89.372009569377994</v>
      </c>
    </row>
    <row r="20" spans="1:11" ht="31">
      <c r="A20" s="178" t="s">
        <v>430</v>
      </c>
      <c r="B20" s="179">
        <v>1</v>
      </c>
      <c r="C20" s="333" t="s">
        <v>18</v>
      </c>
      <c r="D20" s="180">
        <v>2</v>
      </c>
      <c r="E20" s="179">
        <f t="shared" ref="E20:E25" si="1">D20*60</f>
        <v>120</v>
      </c>
      <c r="F20" s="181">
        <f>Personnel!Q16</f>
        <v>12.825657894736842</v>
      </c>
      <c r="G20" s="182">
        <f t="shared" ref="G20:G25" si="2">B20*E20*F20</f>
        <v>1539.078947368421</v>
      </c>
      <c r="H20" s="310">
        <v>0</v>
      </c>
      <c r="I20" s="310">
        <f>H9</f>
        <v>300</v>
      </c>
      <c r="J20" s="181">
        <f t="shared" ref="J20:J33" si="3">SUM(G20+H20+I20)</f>
        <v>1839.078947368421</v>
      </c>
      <c r="K20" s="181">
        <f>J20/G4</f>
        <v>16.7188995215311</v>
      </c>
    </row>
    <row r="21" spans="1:11" ht="15.5">
      <c r="A21" s="178"/>
      <c r="B21" s="179">
        <v>1</v>
      </c>
      <c r="C21" s="333" t="s">
        <v>280</v>
      </c>
      <c r="D21" s="180">
        <v>2</v>
      </c>
      <c r="E21" s="179">
        <f t="shared" si="1"/>
        <v>120</v>
      </c>
      <c r="F21" s="181">
        <f>Personnel!Q14</f>
        <v>14.470394736842106</v>
      </c>
      <c r="G21" s="182">
        <f t="shared" si="2"/>
        <v>1736.4473684210527</v>
      </c>
      <c r="H21" s="310">
        <v>0</v>
      </c>
      <c r="I21" s="310">
        <f>H9</f>
        <v>300</v>
      </c>
      <c r="J21" s="181">
        <f t="shared" si="3"/>
        <v>2036.4473684210527</v>
      </c>
      <c r="K21" s="181">
        <f>J21/G4</f>
        <v>18.513157894736842</v>
      </c>
    </row>
    <row r="22" spans="1:11" ht="15.5">
      <c r="A22" s="178"/>
      <c r="B22" s="179">
        <v>1</v>
      </c>
      <c r="C22" s="333" t="s">
        <v>240</v>
      </c>
      <c r="D22" s="180">
        <v>2</v>
      </c>
      <c r="E22" s="179">
        <f t="shared" si="1"/>
        <v>120</v>
      </c>
      <c r="F22" s="181">
        <f>Personnel!Q16</f>
        <v>12.825657894736842</v>
      </c>
      <c r="G22" s="182">
        <f t="shared" si="2"/>
        <v>1539.078947368421</v>
      </c>
      <c r="H22" s="310">
        <v>0</v>
      </c>
      <c r="I22" s="310">
        <f>H9</f>
        <v>300</v>
      </c>
      <c r="J22" s="181">
        <f t="shared" si="3"/>
        <v>1839.078947368421</v>
      </c>
      <c r="K22" s="181">
        <f>J22/G4</f>
        <v>16.7188995215311</v>
      </c>
    </row>
    <row r="23" spans="1:11" ht="15.5">
      <c r="A23" s="178"/>
      <c r="B23" s="179">
        <v>1</v>
      </c>
      <c r="C23" s="333" t="s">
        <v>17</v>
      </c>
      <c r="D23" s="180">
        <v>2</v>
      </c>
      <c r="E23" s="179">
        <f t="shared" si="1"/>
        <v>120</v>
      </c>
      <c r="F23" s="181">
        <f>Personnel!Q16</f>
        <v>12.825657894736842</v>
      </c>
      <c r="G23" s="182">
        <f t="shared" si="2"/>
        <v>1539.078947368421</v>
      </c>
      <c r="H23" s="310">
        <v>0</v>
      </c>
      <c r="I23" s="310">
        <f>H9</f>
        <v>300</v>
      </c>
      <c r="J23" s="181">
        <f t="shared" si="3"/>
        <v>1839.078947368421</v>
      </c>
      <c r="K23" s="181">
        <f>J23/G4</f>
        <v>16.7188995215311</v>
      </c>
    </row>
    <row r="24" spans="1:11" ht="15.5">
      <c r="A24" s="178"/>
      <c r="B24" s="179">
        <v>2</v>
      </c>
      <c r="C24" s="333" t="s">
        <v>12</v>
      </c>
      <c r="D24" s="180">
        <v>2</v>
      </c>
      <c r="E24" s="179">
        <f t="shared" si="1"/>
        <v>120</v>
      </c>
      <c r="F24" s="181">
        <f>Personnel!Q22</f>
        <v>2.2807017543859649</v>
      </c>
      <c r="G24" s="182">
        <f t="shared" si="2"/>
        <v>547.36842105263156</v>
      </c>
      <c r="H24" s="310">
        <f>B24*H6</f>
        <v>600</v>
      </c>
      <c r="I24" s="310">
        <f>B24*H9</f>
        <v>600</v>
      </c>
      <c r="J24" s="181">
        <f t="shared" si="3"/>
        <v>1747.3684210526317</v>
      </c>
      <c r="K24" s="181">
        <f>J24/G4</f>
        <v>15.885167464114833</v>
      </c>
    </row>
    <row r="25" spans="1:11" ht="15.5">
      <c r="A25" s="178"/>
      <c r="B25" s="179">
        <v>1</v>
      </c>
      <c r="C25" s="333" t="s">
        <v>13</v>
      </c>
      <c r="D25" s="180">
        <v>2</v>
      </c>
      <c r="E25" s="179">
        <f t="shared" si="1"/>
        <v>120</v>
      </c>
      <c r="F25" s="181">
        <f>Personnel!Q15</f>
        <v>18.005482456140349</v>
      </c>
      <c r="G25" s="182">
        <f t="shared" si="2"/>
        <v>2160.6578947368421</v>
      </c>
      <c r="H25" s="310">
        <v>0</v>
      </c>
      <c r="I25" s="310">
        <f>H9</f>
        <v>300</v>
      </c>
      <c r="J25" s="181">
        <f t="shared" si="3"/>
        <v>2460.6578947368421</v>
      </c>
      <c r="K25" s="181">
        <f>J25/G4</f>
        <v>22.369617224880383</v>
      </c>
    </row>
    <row r="26" spans="1:11" ht="15.5">
      <c r="A26" s="184" t="s">
        <v>256</v>
      </c>
      <c r="B26" s="179"/>
      <c r="C26" s="333"/>
      <c r="D26" s="180"/>
      <c r="E26" s="179"/>
      <c r="F26" s="181"/>
      <c r="G26" s="182"/>
      <c r="H26" s="310"/>
      <c r="I26" s="310"/>
      <c r="J26" s="185">
        <f>SUM(J20:J25)</f>
        <v>11761.710526315788</v>
      </c>
      <c r="K26" s="185">
        <f>SUM(K20:K25)</f>
        <v>106.92464114832535</v>
      </c>
    </row>
    <row r="27" spans="1:11" ht="31">
      <c r="A27" s="178" t="s">
        <v>431</v>
      </c>
      <c r="B27" s="179">
        <v>1</v>
      </c>
      <c r="C27" s="297" t="s">
        <v>13</v>
      </c>
      <c r="D27" s="180">
        <v>2</v>
      </c>
      <c r="E27" s="179">
        <f>D27*60</f>
        <v>120</v>
      </c>
      <c r="F27" s="181">
        <f>Personnel!Q15</f>
        <v>18.005482456140349</v>
      </c>
      <c r="G27" s="182">
        <f>B27*E27*F27</f>
        <v>2160.6578947368421</v>
      </c>
      <c r="H27" s="310">
        <v>0</v>
      </c>
      <c r="I27" s="310">
        <f>H9</f>
        <v>300</v>
      </c>
      <c r="J27" s="181">
        <f t="shared" si="3"/>
        <v>2460.6578947368421</v>
      </c>
      <c r="K27" s="181">
        <f>J27/G4</f>
        <v>22.369617224880383</v>
      </c>
    </row>
    <row r="28" spans="1:11" ht="19" customHeight="1">
      <c r="A28" s="178"/>
      <c r="B28" s="179">
        <v>1</v>
      </c>
      <c r="C28" s="178" t="s">
        <v>241</v>
      </c>
      <c r="D28" s="180">
        <v>2</v>
      </c>
      <c r="E28" s="179">
        <f t="shared" ref="E28:E33" si="4">D28*60</f>
        <v>120</v>
      </c>
      <c r="F28" s="181">
        <f>Personnel!Q16</f>
        <v>12.825657894736842</v>
      </c>
      <c r="G28" s="182">
        <f>B28*E28*F28</f>
        <v>1539.078947368421</v>
      </c>
      <c r="H28" s="310">
        <v>0</v>
      </c>
      <c r="I28" s="310">
        <f>H9</f>
        <v>300</v>
      </c>
      <c r="J28" s="181">
        <f t="shared" si="3"/>
        <v>1839.078947368421</v>
      </c>
      <c r="K28" s="181">
        <f>J28/G4</f>
        <v>16.7188995215311</v>
      </c>
    </row>
    <row r="29" spans="1:11" ht="15.5">
      <c r="A29" s="178"/>
      <c r="B29" s="179">
        <v>8</v>
      </c>
      <c r="C29" s="297" t="s">
        <v>184</v>
      </c>
      <c r="D29" s="180">
        <v>2</v>
      </c>
      <c r="E29" s="179">
        <f t="shared" si="4"/>
        <v>120</v>
      </c>
      <c r="F29" s="181">
        <f>Personnel!Q22</f>
        <v>2.2807017543859649</v>
      </c>
      <c r="G29" s="182">
        <f>B29*E29*F29</f>
        <v>2189.4736842105262</v>
      </c>
      <c r="H29" s="310">
        <f>B29*H6</f>
        <v>2400</v>
      </c>
      <c r="I29" s="310">
        <f>B29*H9</f>
        <v>2400</v>
      </c>
      <c r="J29" s="181">
        <f t="shared" si="3"/>
        <v>6989.4736842105267</v>
      </c>
      <c r="K29" s="181">
        <f>J29/G4</f>
        <v>63.540669856459331</v>
      </c>
    </row>
    <row r="30" spans="1:11" ht="15.5">
      <c r="A30" s="184" t="s">
        <v>256</v>
      </c>
      <c r="B30" s="179"/>
      <c r="C30" s="333"/>
      <c r="D30" s="180"/>
      <c r="E30" s="179"/>
      <c r="F30" s="181"/>
      <c r="G30" s="182"/>
      <c r="H30" s="310"/>
      <c r="I30" s="310"/>
      <c r="J30" s="185">
        <f>SUM(J27:J29)</f>
        <v>11289.21052631579</v>
      </c>
      <c r="K30" s="185">
        <f>SUM(K27:K29)</f>
        <v>102.62918660287082</v>
      </c>
    </row>
    <row r="31" spans="1:11" ht="31">
      <c r="A31" s="178" t="s">
        <v>432</v>
      </c>
      <c r="B31" s="179">
        <v>4</v>
      </c>
      <c r="C31" s="297" t="s">
        <v>12</v>
      </c>
      <c r="D31" s="180">
        <v>2</v>
      </c>
      <c r="E31" s="179">
        <f t="shared" si="4"/>
        <v>120</v>
      </c>
      <c r="F31" s="181">
        <f>Personnel!Q22</f>
        <v>2.2807017543859649</v>
      </c>
      <c r="G31" s="182">
        <f>B31*E31*F31</f>
        <v>1094.7368421052631</v>
      </c>
      <c r="H31" s="310">
        <f>B31*H6</f>
        <v>1200</v>
      </c>
      <c r="I31" s="310">
        <f>B31*H9</f>
        <v>1200</v>
      </c>
      <c r="J31" s="181">
        <f t="shared" si="3"/>
        <v>3494.7368421052633</v>
      </c>
      <c r="K31" s="181">
        <f>J31/G4</f>
        <v>31.770334928229666</v>
      </c>
    </row>
    <row r="32" spans="1:11" ht="15.5">
      <c r="A32" s="178"/>
      <c r="B32" s="179">
        <v>1</v>
      </c>
      <c r="C32" s="297" t="s">
        <v>13</v>
      </c>
      <c r="D32" s="180">
        <v>2</v>
      </c>
      <c r="E32" s="179">
        <f t="shared" si="4"/>
        <v>120</v>
      </c>
      <c r="F32" s="181">
        <f>Personnel!Q15</f>
        <v>18.005482456140349</v>
      </c>
      <c r="G32" s="182">
        <f>B32*E32*F32</f>
        <v>2160.6578947368421</v>
      </c>
      <c r="H32" s="310">
        <v>0</v>
      </c>
      <c r="I32" s="310">
        <f>H9</f>
        <v>300</v>
      </c>
      <c r="J32" s="181">
        <f t="shared" si="3"/>
        <v>2460.6578947368421</v>
      </c>
      <c r="K32" s="181">
        <f>J32/G4</f>
        <v>22.369617224880383</v>
      </c>
    </row>
    <row r="33" spans="1:12" ht="15.5">
      <c r="A33" s="178"/>
      <c r="B33" s="179">
        <v>1</v>
      </c>
      <c r="C33" s="297" t="s">
        <v>17</v>
      </c>
      <c r="D33" s="180">
        <v>2</v>
      </c>
      <c r="E33" s="179">
        <f t="shared" si="4"/>
        <v>120</v>
      </c>
      <c r="F33" s="181">
        <f>Personnel!Q16</f>
        <v>12.825657894736842</v>
      </c>
      <c r="G33" s="182">
        <f>B33*E33*F33</f>
        <v>1539.078947368421</v>
      </c>
      <c r="H33" s="310">
        <v>0</v>
      </c>
      <c r="I33" s="310">
        <f>H9</f>
        <v>300</v>
      </c>
      <c r="J33" s="181">
        <f t="shared" si="3"/>
        <v>1839.078947368421</v>
      </c>
      <c r="K33" s="181">
        <f>J33/G4</f>
        <v>16.7188995215311</v>
      </c>
    </row>
    <row r="34" spans="1:12" ht="15.5">
      <c r="A34" s="184" t="s">
        <v>256</v>
      </c>
      <c r="B34" s="179"/>
      <c r="C34" s="297"/>
      <c r="D34" s="180"/>
      <c r="E34" s="180"/>
      <c r="F34" s="181"/>
      <c r="G34" s="182"/>
      <c r="H34" s="310"/>
      <c r="I34" s="310"/>
      <c r="J34" s="185">
        <f>SUM(J31:J33)</f>
        <v>7794.4736842105258</v>
      </c>
      <c r="K34" s="185">
        <f>SUM(K31:K33)</f>
        <v>70.858851674641144</v>
      </c>
    </row>
    <row r="35" spans="1:12" s="14" customFormat="1" ht="15.5">
      <c r="A35" s="186" t="s">
        <v>257</v>
      </c>
      <c r="B35" s="187"/>
      <c r="C35" s="593"/>
      <c r="D35" s="188"/>
      <c r="E35" s="187"/>
      <c r="F35" s="487"/>
      <c r="G35" s="488"/>
      <c r="H35" s="489"/>
      <c r="I35" s="489"/>
      <c r="J35" s="189">
        <f>SUM(J19+J26+J30+J34)</f>
        <v>40676.315789473687</v>
      </c>
      <c r="K35" s="189">
        <f>SUM(K19+K26+K30+K34)</f>
        <v>369.78468899521528</v>
      </c>
    </row>
    <row r="36" spans="1:12" s="14" customFormat="1" ht="15.5">
      <c r="A36" s="174" t="s">
        <v>19</v>
      </c>
      <c r="B36" s="468"/>
      <c r="C36" s="462"/>
      <c r="D36" s="456"/>
      <c r="E36" s="468"/>
      <c r="F36" s="490"/>
      <c r="G36" s="491"/>
      <c r="H36" s="492"/>
      <c r="I36" s="492"/>
      <c r="J36" s="460"/>
      <c r="K36" s="460"/>
      <c r="L36" s="11"/>
    </row>
    <row r="37" spans="1:12" ht="31">
      <c r="A37" s="178" t="s">
        <v>586</v>
      </c>
      <c r="B37" s="179">
        <v>1</v>
      </c>
      <c r="C37" s="297" t="s">
        <v>185</v>
      </c>
      <c r="D37" s="180">
        <v>2</v>
      </c>
      <c r="E37" s="179">
        <f>D37*60</f>
        <v>120</v>
      </c>
      <c r="F37" s="191">
        <f>Personnel!Q15</f>
        <v>18.005482456140349</v>
      </c>
      <c r="G37" s="182">
        <f>B37*E37*F37</f>
        <v>2160.6578947368421</v>
      </c>
      <c r="H37" s="212">
        <v>0</v>
      </c>
      <c r="I37" s="310">
        <f>H9</f>
        <v>300</v>
      </c>
      <c r="J37" s="181">
        <f t="shared" ref="J37:J40" si="5">SUM(G37+H37+I37)</f>
        <v>2460.6578947368421</v>
      </c>
      <c r="K37" s="181">
        <f>J37/G4</f>
        <v>22.369617224880383</v>
      </c>
    </row>
    <row r="38" spans="1:12" ht="15.5">
      <c r="A38" s="178"/>
      <c r="B38" s="179">
        <v>2</v>
      </c>
      <c r="C38" s="297" t="s">
        <v>12</v>
      </c>
      <c r="D38" s="180">
        <v>2</v>
      </c>
      <c r="E38" s="179">
        <f>D38*60</f>
        <v>120</v>
      </c>
      <c r="F38" s="191">
        <f>Personnel!Q22</f>
        <v>2.2807017543859649</v>
      </c>
      <c r="G38" s="182">
        <f t="shared" ref="G38:G40" si="6">B38*E38*F38</f>
        <v>547.36842105263156</v>
      </c>
      <c r="H38" s="310">
        <f>B38*H6</f>
        <v>600</v>
      </c>
      <c r="I38" s="183">
        <f>B38*H9</f>
        <v>600</v>
      </c>
      <c r="J38" s="181">
        <f t="shared" si="5"/>
        <v>1747.3684210526317</v>
      </c>
      <c r="K38" s="181">
        <f>J38/G4</f>
        <v>15.885167464114833</v>
      </c>
    </row>
    <row r="39" spans="1:12" ht="15.5">
      <c r="A39" s="178"/>
      <c r="B39" s="179">
        <v>1</v>
      </c>
      <c r="C39" s="297" t="s">
        <v>17</v>
      </c>
      <c r="D39" s="180">
        <v>2</v>
      </c>
      <c r="E39" s="179">
        <f>D39*60</f>
        <v>120</v>
      </c>
      <c r="F39" s="191">
        <f>Personnel!Q27</f>
        <v>12.825657894736842</v>
      </c>
      <c r="G39" s="182">
        <f t="shared" si="6"/>
        <v>1539.078947368421</v>
      </c>
      <c r="H39" s="212">
        <v>0</v>
      </c>
      <c r="I39" s="310">
        <f>H81</f>
        <v>0</v>
      </c>
      <c r="J39" s="181">
        <f t="shared" si="5"/>
        <v>1539.078947368421</v>
      </c>
      <c r="K39" s="181">
        <f>J39/G4</f>
        <v>13.991626794258373</v>
      </c>
    </row>
    <row r="40" spans="1:12" ht="15.5">
      <c r="A40" s="192"/>
      <c r="B40" s="179">
        <v>1</v>
      </c>
      <c r="C40" s="297" t="s">
        <v>16</v>
      </c>
      <c r="D40" s="180">
        <v>2</v>
      </c>
      <c r="E40" s="179">
        <f>D40*60</f>
        <v>120</v>
      </c>
      <c r="F40" s="191">
        <f>Personnel!Q27</f>
        <v>12.825657894736842</v>
      </c>
      <c r="G40" s="182">
        <f t="shared" si="6"/>
        <v>1539.078947368421</v>
      </c>
      <c r="H40" s="212">
        <v>0</v>
      </c>
      <c r="I40" s="310">
        <f>H9</f>
        <v>300</v>
      </c>
      <c r="J40" s="181">
        <f t="shared" si="5"/>
        <v>1839.078947368421</v>
      </c>
      <c r="K40" s="181">
        <f>J40/G4</f>
        <v>16.7188995215311</v>
      </c>
    </row>
    <row r="41" spans="1:12" s="14" customFormat="1" ht="15.5">
      <c r="A41" s="186" t="s">
        <v>370</v>
      </c>
      <c r="B41" s="187"/>
      <c r="C41" s="193"/>
      <c r="D41" s="188"/>
      <c r="E41" s="188"/>
      <c r="F41" s="493"/>
      <c r="G41" s="494"/>
      <c r="H41" s="495"/>
      <c r="I41" s="472"/>
      <c r="J41" s="189">
        <f>SUM(J37:J40)</f>
        <v>7586.1842105263149</v>
      </c>
      <c r="K41" s="189">
        <f>SUM(K37:K40)</f>
        <v>68.965311004784695</v>
      </c>
    </row>
    <row r="42" spans="1:12" s="7" customFormat="1" ht="15.5">
      <c r="A42" s="160" t="s">
        <v>258</v>
      </c>
      <c r="B42" s="194"/>
      <c r="C42" s="195"/>
      <c r="D42" s="194"/>
      <c r="E42" s="194"/>
      <c r="F42" s="496"/>
      <c r="G42" s="496"/>
      <c r="H42" s="497"/>
      <c r="I42" s="497"/>
      <c r="J42" s="496">
        <f>SUM(J35+J41)</f>
        <v>48262.5</v>
      </c>
      <c r="K42" s="496">
        <f>SUM(K35+K41)</f>
        <v>438.75</v>
      </c>
    </row>
    <row r="43" spans="1:12" ht="15.5">
      <c r="A43" s="155" t="s">
        <v>377</v>
      </c>
      <c r="B43" s="288" t="s">
        <v>23</v>
      </c>
      <c r="C43" s="288" t="s">
        <v>382</v>
      </c>
      <c r="D43" s="176"/>
      <c r="E43" s="176"/>
      <c r="F43" s="176"/>
      <c r="G43" s="158"/>
      <c r="H43" s="158"/>
      <c r="I43" s="158"/>
      <c r="J43" s="158"/>
      <c r="K43" s="158"/>
    </row>
    <row r="44" spans="1:12" ht="15.5">
      <c r="A44" s="155" t="s">
        <v>10</v>
      </c>
      <c r="B44" s="180">
        <f>Personnel!H33</f>
        <v>55</v>
      </c>
      <c r="C44" s="344">
        <f>Personnel!I33</f>
        <v>0.44715447154471544</v>
      </c>
      <c r="D44" s="176"/>
      <c r="E44" s="176"/>
      <c r="F44" s="176"/>
      <c r="G44" s="158"/>
      <c r="H44" s="158"/>
      <c r="I44" s="158"/>
      <c r="J44" s="158"/>
      <c r="K44" s="158"/>
    </row>
    <row r="45" spans="1:12" ht="15.5">
      <c r="A45" s="155" t="s">
        <v>19</v>
      </c>
      <c r="B45" s="180">
        <f>Personnel!H34</f>
        <v>68</v>
      </c>
      <c r="C45" s="344">
        <f>Personnel!I34</f>
        <v>0.55284552845528456</v>
      </c>
      <c r="D45" s="176"/>
      <c r="E45" s="176"/>
      <c r="F45" s="176"/>
      <c r="G45" s="158"/>
      <c r="H45" s="158"/>
      <c r="I45" s="158"/>
      <c r="J45" s="158"/>
      <c r="K45" s="158"/>
    </row>
    <row r="46" spans="1:12" ht="15.5">
      <c r="A46" s="155" t="s">
        <v>20</v>
      </c>
      <c r="B46" s="180">
        <f>SUM(B44:B45)</f>
        <v>123</v>
      </c>
      <c r="C46" s="180">
        <f>SUM(C44:C45)</f>
        <v>1</v>
      </c>
      <c r="D46" s="176"/>
      <c r="E46" s="176"/>
      <c r="F46" s="176"/>
      <c r="G46" s="158"/>
      <c r="H46" s="158"/>
      <c r="I46" s="158"/>
      <c r="J46" s="158"/>
      <c r="K46" s="158"/>
    </row>
    <row r="47" spans="1:12" ht="15" customHeight="1">
      <c r="A47" s="171"/>
      <c r="B47" s="746" t="s">
        <v>560</v>
      </c>
      <c r="C47" s="747"/>
      <c r="D47" s="160" t="s">
        <v>433</v>
      </c>
      <c r="E47" s="498"/>
      <c r="F47" s="198"/>
      <c r="G47" s="199"/>
      <c r="H47" s="199"/>
      <c r="I47" s="199"/>
      <c r="J47" s="199"/>
      <c r="K47" s="199"/>
    </row>
    <row r="48" spans="1:12" s="14" customFormat="1" ht="15.5">
      <c r="A48" s="199" t="s">
        <v>386</v>
      </c>
      <c r="B48" s="160" t="s">
        <v>233</v>
      </c>
      <c r="C48" s="471" t="s">
        <v>32</v>
      </c>
      <c r="D48" s="160" t="s">
        <v>233</v>
      </c>
      <c r="E48" s="433" t="s">
        <v>388</v>
      </c>
      <c r="F48" s="198"/>
      <c r="G48" s="199"/>
      <c r="H48" s="199"/>
      <c r="I48" s="199"/>
      <c r="J48" s="199"/>
      <c r="K48" s="199"/>
    </row>
    <row r="49" spans="1:11" ht="15.5">
      <c r="A49" s="158" t="s">
        <v>243</v>
      </c>
      <c r="B49" s="190">
        <f>J35</f>
        <v>40676.315789473687</v>
      </c>
      <c r="C49" s="470">
        <f>B49/G4</f>
        <v>369.78468899521533</v>
      </c>
      <c r="D49" s="225">
        <f>B49/B44</f>
        <v>739.56937799043067</v>
      </c>
      <c r="E49" s="445">
        <f>D49/G4</f>
        <v>6.7233579817311879</v>
      </c>
      <c r="F49" s="176"/>
      <c r="G49" s="158"/>
      <c r="H49" s="158"/>
      <c r="I49" s="158"/>
      <c r="J49" s="158"/>
      <c r="K49" s="158"/>
    </row>
    <row r="50" spans="1:11" ht="15.5">
      <c r="A50" s="158" t="s">
        <v>244</v>
      </c>
      <c r="B50" s="190">
        <f>J41</f>
        <v>7586.1842105263149</v>
      </c>
      <c r="C50" s="470">
        <f>B50/G4</f>
        <v>68.965311004784681</v>
      </c>
      <c r="D50" s="225">
        <f>B50/B45</f>
        <v>111.56153250773993</v>
      </c>
      <c r="E50" s="445">
        <f>D50/G4</f>
        <v>1.0141957500703629</v>
      </c>
      <c r="F50" s="176"/>
      <c r="G50" s="158"/>
      <c r="H50" s="158"/>
      <c r="I50" s="158"/>
      <c r="J50" s="158"/>
      <c r="K50" s="158"/>
    </row>
    <row r="51" spans="1:11" ht="15.5">
      <c r="A51" s="279" t="s">
        <v>371</v>
      </c>
      <c r="B51" s="390">
        <f>SUM(B49:B50)</f>
        <v>48262.5</v>
      </c>
      <c r="C51" s="390">
        <f>SUM(C49:C50)</f>
        <v>438.75</v>
      </c>
      <c r="D51" s="399">
        <f>SUM(D49:D50)</f>
        <v>851.13091049817058</v>
      </c>
      <c r="E51" s="399">
        <f>SUM(E49:E50)</f>
        <v>7.737553731801551</v>
      </c>
      <c r="F51" s="193"/>
      <c r="G51" s="265"/>
      <c r="H51" s="265"/>
      <c r="I51" s="265"/>
      <c r="J51" s="265"/>
      <c r="K51" s="265"/>
    </row>
    <row r="52" spans="1:11" s="14" customFormat="1" ht="15.5">
      <c r="A52" s="199" t="s">
        <v>495</v>
      </c>
      <c r="B52" s="201"/>
      <c r="C52" s="201"/>
      <c r="D52" s="499"/>
      <c r="E52" s="499"/>
      <c r="F52" s="198"/>
      <c r="G52" s="199"/>
      <c r="H52" s="199"/>
      <c r="I52" s="199"/>
      <c r="J52" s="199"/>
      <c r="K52" s="199"/>
    </row>
    <row r="53" spans="1:11" ht="15.5">
      <c r="A53" s="158" t="s">
        <v>376</v>
      </c>
      <c r="B53" s="190">
        <v>4.58</v>
      </c>
      <c r="C53" s="190"/>
      <c r="D53" s="445">
        <v>4.58</v>
      </c>
      <c r="E53" s="448"/>
      <c r="F53" s="500"/>
      <c r="G53" s="177"/>
      <c r="H53" s="177"/>
      <c r="I53" s="177"/>
      <c r="J53" s="177"/>
      <c r="K53" s="177"/>
    </row>
    <row r="54" spans="1:11" ht="15.5">
      <c r="A54" s="158" t="s">
        <v>375</v>
      </c>
      <c r="B54" s="190">
        <v>5</v>
      </c>
      <c r="C54" s="190"/>
      <c r="D54" s="445">
        <v>5</v>
      </c>
      <c r="E54" s="448"/>
      <c r="F54" s="500"/>
      <c r="G54" s="177"/>
      <c r="H54" s="177"/>
      <c r="I54" s="177"/>
      <c r="J54" s="177"/>
      <c r="K54" s="177"/>
    </row>
    <row r="55" spans="1:11" ht="15.5">
      <c r="A55" s="177" t="s">
        <v>496</v>
      </c>
      <c r="B55" s="200">
        <f>B49/B53</f>
        <v>8881.2916570903253</v>
      </c>
      <c r="C55" s="200">
        <f>B55/G4</f>
        <v>80.739015064457504</v>
      </c>
      <c r="D55" s="202">
        <f>D49/D53</f>
        <v>161.47803012891498</v>
      </c>
      <c r="E55" s="202">
        <f>D55/G4</f>
        <v>1.4679820920810454</v>
      </c>
      <c r="F55" s="459"/>
      <c r="G55" s="382"/>
      <c r="H55" s="382"/>
      <c r="I55" s="382"/>
      <c r="J55" s="382"/>
      <c r="K55" s="382"/>
    </row>
    <row r="56" spans="1:11" ht="15.5">
      <c r="A56" s="177" t="s">
        <v>497</v>
      </c>
      <c r="B56" s="200">
        <f>B50/B53</f>
        <v>1656.372098368191</v>
      </c>
      <c r="C56" s="200">
        <f>B56/G4</f>
        <v>15.057928166983555</v>
      </c>
      <c r="D56" s="202">
        <f>D50/D53</f>
        <v>24.358413211296927</v>
      </c>
      <c r="E56" s="202">
        <f>D56/G4</f>
        <v>0.22144012010269934</v>
      </c>
      <c r="F56" s="459"/>
      <c r="G56" s="382"/>
      <c r="H56" s="382"/>
      <c r="I56" s="382"/>
      <c r="J56" s="382"/>
      <c r="K56" s="382"/>
    </row>
    <row r="57" spans="1:11" ht="15.5">
      <c r="A57" s="279" t="s">
        <v>498</v>
      </c>
      <c r="B57" s="390">
        <f>SUM(B55:B56)</f>
        <v>10537.663755458516</v>
      </c>
      <c r="C57" s="390">
        <f>SUM(C55:C56)</f>
        <v>95.796943231441062</v>
      </c>
      <c r="D57" s="399">
        <f>SUM(D55:D56)</f>
        <v>185.8364433402119</v>
      </c>
      <c r="E57" s="399">
        <f>SUM(E55:E56)</f>
        <v>1.6894222121837448</v>
      </c>
      <c r="F57" s="193"/>
      <c r="G57" s="265"/>
      <c r="H57" s="265"/>
      <c r="I57" s="265"/>
      <c r="J57" s="265"/>
      <c r="K57" s="265"/>
    </row>
  </sheetData>
  <mergeCells count="13">
    <mergeCell ref="B1:G2"/>
    <mergeCell ref="B7:G7"/>
    <mergeCell ref="H7:J7"/>
    <mergeCell ref="E12:E13"/>
    <mergeCell ref="H12:H13"/>
    <mergeCell ref="I12:I13"/>
    <mergeCell ref="J12:J13"/>
    <mergeCell ref="K12:K13"/>
    <mergeCell ref="B47:C47"/>
    <mergeCell ref="A12:A13"/>
    <mergeCell ref="B12:B13"/>
    <mergeCell ref="C12:C13"/>
    <mergeCell ref="D12:D13"/>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A9957-CC51-4D9F-AE6A-DED54880807F}">
  <dimension ref="A1:I55"/>
  <sheetViews>
    <sheetView topLeftCell="B35" zoomScaleNormal="100" workbookViewId="0">
      <selection activeCell="G44" sqref="G44"/>
    </sheetView>
  </sheetViews>
  <sheetFormatPr defaultColWidth="9.1796875" defaultRowHeight="14"/>
  <cols>
    <col min="1" max="1" width="55.1796875" style="11" customWidth="1"/>
    <col min="2" max="2" width="27.1796875" style="12" customWidth="1"/>
    <col min="3" max="3" width="31.453125" style="12" customWidth="1"/>
    <col min="4" max="4" width="52.81640625" style="12" customWidth="1"/>
    <col min="5" max="5" width="58.08984375" style="12" customWidth="1"/>
    <col min="6" max="6" width="22.1796875" style="12" customWidth="1"/>
    <col min="7" max="7" width="21.7265625" style="11" customWidth="1"/>
    <col min="8" max="8" width="18.1796875" style="135" customWidth="1"/>
    <col min="9" max="9" width="18.90625" style="135" customWidth="1"/>
    <col min="10" max="16384" width="9.1796875" style="11"/>
  </cols>
  <sheetData>
    <row r="1" spans="1:9" s="8" customFormat="1" ht="15.5">
      <c r="A1" s="155" t="s">
        <v>374</v>
      </c>
      <c r="B1" s="761"/>
      <c r="C1" s="761"/>
      <c r="D1" s="761"/>
      <c r="E1" s="761"/>
      <c r="F1" s="761"/>
      <c r="G1" s="761"/>
      <c r="H1" s="154"/>
      <c r="I1" s="154"/>
    </row>
    <row r="2" spans="1:9" s="8" customFormat="1" ht="15.5">
      <c r="A2" s="155" t="s">
        <v>396</v>
      </c>
      <c r="B2" s="761"/>
      <c r="C2" s="761"/>
      <c r="D2" s="761"/>
      <c r="E2" s="761"/>
      <c r="F2" s="761"/>
      <c r="G2" s="761"/>
      <c r="H2" s="154"/>
      <c r="I2" s="154"/>
    </row>
    <row r="3" spans="1:9" s="8" customFormat="1" ht="15.5">
      <c r="A3" s="155"/>
      <c r="B3" s="156"/>
      <c r="C3" s="156"/>
      <c r="D3" s="156"/>
      <c r="E3" s="156"/>
      <c r="F3" s="156" t="s">
        <v>32</v>
      </c>
      <c r="G3" s="157" t="s">
        <v>233</v>
      </c>
      <c r="H3" s="154"/>
      <c r="I3" s="154"/>
    </row>
    <row r="4" spans="1:9" s="8" customFormat="1" ht="15.5">
      <c r="A4" s="154" t="s">
        <v>3</v>
      </c>
      <c r="B4" s="158" t="s">
        <v>4</v>
      </c>
      <c r="C4" s="159"/>
      <c r="D4" s="154"/>
      <c r="E4" s="154"/>
      <c r="F4" s="154">
        <v>1</v>
      </c>
      <c r="G4" s="154">
        <v>110</v>
      </c>
      <c r="H4" s="154"/>
      <c r="I4" s="154"/>
    </row>
    <row r="5" spans="1:9" s="8" customFormat="1" ht="14.15" customHeight="1">
      <c r="A5" s="154" t="s">
        <v>5</v>
      </c>
      <c r="B5" s="158" t="s">
        <v>437</v>
      </c>
      <c r="C5" s="159"/>
      <c r="D5" s="154"/>
      <c r="E5" s="154"/>
      <c r="F5" s="154"/>
      <c r="G5" s="154"/>
      <c r="H5" s="154"/>
      <c r="I5" s="154"/>
    </row>
    <row r="6" spans="1:9" s="8" customFormat="1" ht="14.15" customHeight="1">
      <c r="A6" s="154" t="s">
        <v>6</v>
      </c>
      <c r="B6" s="158">
        <v>8</v>
      </c>
      <c r="C6" s="158"/>
      <c r="D6" s="154"/>
      <c r="E6" s="154"/>
      <c r="F6" s="154"/>
      <c r="G6" s="154"/>
      <c r="H6" s="154"/>
      <c r="I6" s="154"/>
    </row>
    <row r="7" spans="1:9" s="8" customFormat="1" ht="15" customHeight="1">
      <c r="A7" s="158" t="s">
        <v>7</v>
      </c>
      <c r="B7" s="753" t="s">
        <v>235</v>
      </c>
      <c r="C7" s="753"/>
      <c r="D7" s="753"/>
      <c r="E7" s="753"/>
      <c r="F7" s="762"/>
      <c r="G7" s="762"/>
      <c r="H7" s="154"/>
      <c r="I7" s="154"/>
    </row>
    <row r="8" spans="1:9" s="8" customFormat="1" ht="17.5" customHeight="1">
      <c r="A8" s="160"/>
      <c r="B8" s="160" t="s">
        <v>427</v>
      </c>
      <c r="C8" s="160" t="s">
        <v>428</v>
      </c>
      <c r="D8" s="160" t="s">
        <v>423</v>
      </c>
      <c r="E8" s="161" t="s">
        <v>424</v>
      </c>
      <c r="F8" s="162"/>
      <c r="G8" s="162"/>
      <c r="H8" s="163"/>
      <c r="I8" s="163"/>
    </row>
    <row r="9" spans="1:9" s="10" customFormat="1" ht="17.25" customHeight="1">
      <c r="A9" s="153" t="s">
        <v>420</v>
      </c>
      <c r="B9" s="164" t="s">
        <v>2</v>
      </c>
      <c r="C9" s="164" t="s">
        <v>2</v>
      </c>
      <c r="D9" s="164">
        <v>1</v>
      </c>
      <c r="E9" s="165">
        <v>1</v>
      </c>
      <c r="F9" s="166"/>
      <c r="G9" s="167"/>
      <c r="H9" s="168"/>
      <c r="I9" s="168"/>
    </row>
    <row r="10" spans="1:9" s="13" customFormat="1" ht="19.5" customHeight="1">
      <c r="A10" s="748" t="s">
        <v>0</v>
      </c>
      <c r="B10" s="750" t="s">
        <v>434</v>
      </c>
      <c r="C10" s="750" t="s">
        <v>422</v>
      </c>
      <c r="D10" s="750" t="s">
        <v>252</v>
      </c>
      <c r="E10" s="757" t="s">
        <v>253</v>
      </c>
      <c r="F10" s="169" t="s">
        <v>365</v>
      </c>
      <c r="G10" s="170" t="s">
        <v>436</v>
      </c>
      <c r="H10" s="171" t="s">
        <v>306</v>
      </c>
      <c r="I10" s="171" t="s">
        <v>259</v>
      </c>
    </row>
    <row r="11" spans="1:9" s="13" customFormat="1" ht="38" hidden="1" customHeight="1">
      <c r="A11" s="749"/>
      <c r="B11" s="751"/>
      <c r="C11" s="751"/>
      <c r="D11" s="751"/>
      <c r="E11" s="758"/>
      <c r="F11" s="172" t="s">
        <v>435</v>
      </c>
      <c r="G11" s="173" t="s">
        <v>306</v>
      </c>
      <c r="H11" s="158"/>
      <c r="I11" s="158"/>
    </row>
    <row r="12" spans="1:9" s="14" customFormat="1" ht="17" customHeight="1">
      <c r="A12" s="174" t="s">
        <v>10</v>
      </c>
      <c r="B12" s="465"/>
      <c r="C12" s="465"/>
      <c r="D12" s="459"/>
      <c r="E12" s="465"/>
      <c r="F12" s="466"/>
      <c r="G12" s="467"/>
      <c r="H12" s="382"/>
      <c r="I12" s="382"/>
    </row>
    <row r="13" spans="1:9" s="35" customFormat="1" ht="31">
      <c r="A13" s="178" t="s">
        <v>236</v>
      </c>
      <c r="B13" s="179">
        <v>1</v>
      </c>
      <c r="C13" s="333" t="s">
        <v>11</v>
      </c>
      <c r="D13" s="180">
        <v>2</v>
      </c>
      <c r="E13" s="179">
        <f>D13*60</f>
        <v>120</v>
      </c>
      <c r="F13" s="181">
        <f>Personnel!Q14</f>
        <v>14.470394736842106</v>
      </c>
      <c r="G13" s="182">
        <f>F13/G4</f>
        <v>0.13154904306220097</v>
      </c>
      <c r="H13" s="183">
        <f>B13*E13*F13</f>
        <v>1736.4473684210527</v>
      </c>
      <c r="I13" s="183">
        <f>H13/G4</f>
        <v>15.785885167464116</v>
      </c>
    </row>
    <row r="14" spans="1:9" ht="15.5">
      <c r="A14" s="178"/>
      <c r="B14" s="179">
        <v>4</v>
      </c>
      <c r="C14" s="333" t="s">
        <v>12</v>
      </c>
      <c r="D14" s="180">
        <v>2</v>
      </c>
      <c r="E14" s="179">
        <f>D14*60</f>
        <v>120</v>
      </c>
      <c r="F14" s="181">
        <f>Personnel!Q22</f>
        <v>2.2807017543859649</v>
      </c>
      <c r="G14" s="182">
        <f>F14/G4</f>
        <v>2.0733652312599681E-2</v>
      </c>
      <c r="H14" s="183">
        <f t="shared" ref="H14:H31" si="0">B14*E14*F14</f>
        <v>1094.7368421052631</v>
      </c>
      <c r="I14" s="183">
        <f>H14/G4</f>
        <v>9.9521531100478473</v>
      </c>
    </row>
    <row r="15" spans="1:9" ht="15.5">
      <c r="A15" s="178"/>
      <c r="B15" s="179">
        <v>1</v>
      </c>
      <c r="C15" s="333" t="s">
        <v>17</v>
      </c>
      <c r="D15" s="180">
        <v>2</v>
      </c>
      <c r="E15" s="179">
        <f>D15*60</f>
        <v>120</v>
      </c>
      <c r="F15" s="181">
        <f>Personnel!Q16</f>
        <v>12.825657894736842</v>
      </c>
      <c r="G15" s="182">
        <f>F15/G4</f>
        <v>0.11659688995215312</v>
      </c>
      <c r="H15" s="183">
        <f t="shared" si="0"/>
        <v>1539.078947368421</v>
      </c>
      <c r="I15" s="183">
        <f>H15/G4</f>
        <v>13.991626794258373</v>
      </c>
    </row>
    <row r="16" spans="1:9" ht="15.5">
      <c r="A16" s="178"/>
      <c r="B16" s="179">
        <v>1</v>
      </c>
      <c r="C16" s="351" t="s">
        <v>13</v>
      </c>
      <c r="D16" s="180">
        <v>2</v>
      </c>
      <c r="E16" s="179">
        <f>D16*60</f>
        <v>120</v>
      </c>
      <c r="F16" s="181">
        <f>Personnel!Q15</f>
        <v>18.005482456140349</v>
      </c>
      <c r="G16" s="182">
        <f>F16/G4</f>
        <v>0.16368620414673044</v>
      </c>
      <c r="H16" s="183">
        <f t="shared" si="0"/>
        <v>2160.6578947368421</v>
      </c>
      <c r="I16" s="183">
        <f>H16/G4</f>
        <v>19.642344497607656</v>
      </c>
    </row>
    <row r="17" spans="1:9" ht="15.5">
      <c r="A17" s="184" t="s">
        <v>256</v>
      </c>
      <c r="B17" s="179"/>
      <c r="C17" s="333"/>
      <c r="D17" s="180"/>
      <c r="E17" s="179"/>
      <c r="F17" s="185">
        <f>SUM(F13:F16)</f>
        <v>47.58223684210526</v>
      </c>
      <c r="G17" s="185">
        <f>SUM(G13:G16)</f>
        <v>0.43256578947368418</v>
      </c>
      <c r="H17" s="185">
        <f>SUM(H13:H16)</f>
        <v>6530.9210526315783</v>
      </c>
      <c r="I17" s="185">
        <f>SUM(I13:I16)</f>
        <v>59.372009569377994</v>
      </c>
    </row>
    <row r="18" spans="1:9" ht="31">
      <c r="A18" s="178" t="s">
        <v>237</v>
      </c>
      <c r="B18" s="179">
        <v>1</v>
      </c>
      <c r="C18" s="333" t="s">
        <v>18</v>
      </c>
      <c r="D18" s="180">
        <v>2</v>
      </c>
      <c r="E18" s="179">
        <f t="shared" ref="E18:E23" si="1">D18*60</f>
        <v>120</v>
      </c>
      <c r="F18" s="181">
        <f>Personnel!Q16</f>
        <v>12.825657894736842</v>
      </c>
      <c r="G18" s="182">
        <f>F18/G4</f>
        <v>0.11659688995215312</v>
      </c>
      <c r="H18" s="183">
        <f t="shared" si="0"/>
        <v>1539.078947368421</v>
      </c>
      <c r="I18" s="183">
        <f>H18/G4</f>
        <v>13.991626794258373</v>
      </c>
    </row>
    <row r="19" spans="1:9" ht="15.5">
      <c r="A19" s="178"/>
      <c r="B19" s="179">
        <v>1</v>
      </c>
      <c r="C19" s="333" t="s">
        <v>11</v>
      </c>
      <c r="D19" s="180">
        <v>2</v>
      </c>
      <c r="E19" s="179">
        <f t="shared" si="1"/>
        <v>120</v>
      </c>
      <c r="F19" s="181">
        <f>Personnel!Q14</f>
        <v>14.470394736842106</v>
      </c>
      <c r="G19" s="182">
        <f>F19/G4</f>
        <v>0.13154904306220097</v>
      </c>
      <c r="H19" s="183">
        <f t="shared" si="0"/>
        <v>1736.4473684210527</v>
      </c>
      <c r="I19" s="183">
        <f>H19/G4</f>
        <v>15.785885167464116</v>
      </c>
    </row>
    <row r="20" spans="1:9" ht="15.5">
      <c r="A20" s="178"/>
      <c r="B20" s="179">
        <v>1</v>
      </c>
      <c r="C20" s="333" t="s">
        <v>240</v>
      </c>
      <c r="D20" s="180">
        <v>2</v>
      </c>
      <c r="E20" s="179">
        <f t="shared" si="1"/>
        <v>120</v>
      </c>
      <c r="F20" s="181">
        <f>Personnel!Q16</f>
        <v>12.825657894736842</v>
      </c>
      <c r="G20" s="182">
        <f>F20/G4</f>
        <v>0.11659688995215312</v>
      </c>
      <c r="H20" s="183">
        <f t="shared" si="0"/>
        <v>1539.078947368421</v>
      </c>
      <c r="I20" s="183">
        <f>H20/G4</f>
        <v>13.991626794258373</v>
      </c>
    </row>
    <row r="21" spans="1:9" ht="15.5">
      <c r="A21" s="178"/>
      <c r="B21" s="179">
        <v>1</v>
      </c>
      <c r="C21" s="333" t="s">
        <v>17</v>
      </c>
      <c r="D21" s="180">
        <v>2</v>
      </c>
      <c r="E21" s="179">
        <f t="shared" si="1"/>
        <v>120</v>
      </c>
      <c r="F21" s="181">
        <f>Personnel!Q16</f>
        <v>12.825657894736842</v>
      </c>
      <c r="G21" s="182">
        <f>F21/G4</f>
        <v>0.11659688995215312</v>
      </c>
      <c r="H21" s="183">
        <f t="shared" si="0"/>
        <v>1539.078947368421</v>
      </c>
      <c r="I21" s="183">
        <f>H21/G4</f>
        <v>13.991626794258373</v>
      </c>
    </row>
    <row r="22" spans="1:9" ht="15.5">
      <c r="A22" s="178"/>
      <c r="B22" s="179">
        <v>2</v>
      </c>
      <c r="C22" s="333" t="s">
        <v>12</v>
      </c>
      <c r="D22" s="180">
        <v>2</v>
      </c>
      <c r="E22" s="179">
        <f t="shared" si="1"/>
        <v>120</v>
      </c>
      <c r="F22" s="181">
        <f>Personnel!Q22</f>
        <v>2.2807017543859649</v>
      </c>
      <c r="G22" s="182">
        <f>F22/G4</f>
        <v>2.0733652312599681E-2</v>
      </c>
      <c r="H22" s="183">
        <f t="shared" si="0"/>
        <v>547.36842105263156</v>
      </c>
      <c r="I22" s="183">
        <f>H22/G4</f>
        <v>4.9760765550239237</v>
      </c>
    </row>
    <row r="23" spans="1:9" ht="15.5">
      <c r="A23" s="178"/>
      <c r="B23" s="179">
        <v>1</v>
      </c>
      <c r="C23" s="351" t="s">
        <v>13</v>
      </c>
      <c r="D23" s="180">
        <v>2</v>
      </c>
      <c r="E23" s="179">
        <f t="shared" si="1"/>
        <v>120</v>
      </c>
      <c r="F23" s="181">
        <f>Personnel!Q15</f>
        <v>18.005482456140349</v>
      </c>
      <c r="G23" s="182">
        <f>F23/G4</f>
        <v>0.16368620414673044</v>
      </c>
      <c r="H23" s="183">
        <f t="shared" si="0"/>
        <v>2160.6578947368421</v>
      </c>
      <c r="I23" s="183">
        <f>H23/G4</f>
        <v>19.642344497607656</v>
      </c>
    </row>
    <row r="24" spans="1:9" ht="15.5">
      <c r="A24" s="184" t="s">
        <v>256</v>
      </c>
      <c r="B24" s="179"/>
      <c r="C24" s="333"/>
      <c r="D24" s="180"/>
      <c r="E24" s="179"/>
      <c r="F24" s="185">
        <f>SUM(F20:F23)</f>
        <v>45.9375</v>
      </c>
      <c r="G24" s="185">
        <f>SUM(G20:G23)</f>
        <v>0.41761363636363635</v>
      </c>
      <c r="H24" s="185">
        <f>SUM(H18:H23)</f>
        <v>9061.71052631579</v>
      </c>
      <c r="I24" s="185">
        <f>SUM(I18:I23)</f>
        <v>82.379186602870817</v>
      </c>
    </row>
    <row r="25" spans="1:9" ht="31">
      <c r="A25" s="178" t="s">
        <v>238</v>
      </c>
      <c r="B25" s="179">
        <v>1</v>
      </c>
      <c r="C25" s="297" t="s">
        <v>13</v>
      </c>
      <c r="D25" s="180">
        <v>2</v>
      </c>
      <c r="E25" s="179">
        <f>D25*60</f>
        <v>120</v>
      </c>
      <c r="F25" s="181">
        <f>Personnel!Q15</f>
        <v>18.005482456140349</v>
      </c>
      <c r="G25" s="182">
        <f>F25/G4</f>
        <v>0.16368620414673044</v>
      </c>
      <c r="H25" s="183">
        <f t="shared" si="0"/>
        <v>2160.6578947368421</v>
      </c>
      <c r="I25" s="183">
        <f>H25/G4</f>
        <v>19.642344497607656</v>
      </c>
    </row>
    <row r="26" spans="1:9" ht="13.5" customHeight="1">
      <c r="A26" s="178"/>
      <c r="B26" s="179">
        <v>1</v>
      </c>
      <c r="C26" s="178" t="s">
        <v>241</v>
      </c>
      <c r="D26" s="180">
        <v>2</v>
      </c>
      <c r="E26" s="179">
        <f t="shared" ref="E26:E31" si="2">D26*60</f>
        <v>120</v>
      </c>
      <c r="F26" s="181">
        <f>Personnel!Q27</f>
        <v>12.825657894736842</v>
      </c>
      <c r="G26" s="182">
        <f>F26/G4</f>
        <v>0.11659688995215312</v>
      </c>
      <c r="H26" s="183">
        <f t="shared" si="0"/>
        <v>1539.078947368421</v>
      </c>
      <c r="I26" s="183">
        <f>H26/G4</f>
        <v>13.991626794258373</v>
      </c>
    </row>
    <row r="27" spans="1:9" ht="15.5">
      <c r="A27" s="178"/>
      <c r="B27" s="179">
        <v>8</v>
      </c>
      <c r="C27" s="297" t="s">
        <v>184</v>
      </c>
      <c r="D27" s="180">
        <v>2</v>
      </c>
      <c r="E27" s="179">
        <f t="shared" si="2"/>
        <v>120</v>
      </c>
      <c r="F27" s="181">
        <f>Personnel!Q22</f>
        <v>2.2807017543859649</v>
      </c>
      <c r="G27" s="182">
        <f>F27/G4</f>
        <v>2.0733652312599681E-2</v>
      </c>
      <c r="H27" s="183">
        <f t="shared" si="0"/>
        <v>2189.4736842105262</v>
      </c>
      <c r="I27" s="183">
        <f>H27/G4</f>
        <v>19.904306220095695</v>
      </c>
    </row>
    <row r="28" spans="1:9" ht="15.5">
      <c r="A28" s="184" t="s">
        <v>256</v>
      </c>
      <c r="B28" s="179"/>
      <c r="C28" s="333"/>
      <c r="D28" s="180"/>
      <c r="E28" s="179"/>
      <c r="F28" s="185">
        <f>SUM(F24:F27)</f>
        <v>79.04934210526315</v>
      </c>
      <c r="G28" s="185">
        <f>SUM(G24:G27)</f>
        <v>0.71863038277511959</v>
      </c>
      <c r="H28" s="185">
        <f>SUM(H25:H27)</f>
        <v>5889.21052631579</v>
      </c>
      <c r="I28" s="185">
        <f>SUM(I25:I27)</f>
        <v>53.538277511961724</v>
      </c>
    </row>
    <row r="29" spans="1:9" ht="31">
      <c r="A29" s="178" t="s">
        <v>239</v>
      </c>
      <c r="B29" s="179">
        <v>4</v>
      </c>
      <c r="C29" s="297" t="s">
        <v>12</v>
      </c>
      <c r="D29" s="180">
        <v>2</v>
      </c>
      <c r="E29" s="179">
        <f t="shared" si="2"/>
        <v>120</v>
      </c>
      <c r="F29" s="181">
        <f>Personnel!Q22</f>
        <v>2.2807017543859649</v>
      </c>
      <c r="G29" s="182">
        <f>F29/G4</f>
        <v>2.0733652312599681E-2</v>
      </c>
      <c r="H29" s="183">
        <f t="shared" si="0"/>
        <v>1094.7368421052631</v>
      </c>
      <c r="I29" s="183">
        <f>H29/G4</f>
        <v>9.9521531100478473</v>
      </c>
    </row>
    <row r="30" spans="1:9" ht="15.5">
      <c r="A30" s="178"/>
      <c r="B30" s="179">
        <v>1</v>
      </c>
      <c r="C30" s="297" t="s">
        <v>13</v>
      </c>
      <c r="D30" s="180">
        <v>2</v>
      </c>
      <c r="E30" s="179">
        <f t="shared" si="2"/>
        <v>120</v>
      </c>
      <c r="F30" s="181">
        <f>Personnel!Q15</f>
        <v>18.005482456140349</v>
      </c>
      <c r="G30" s="182">
        <f>F30/G4</f>
        <v>0.16368620414673044</v>
      </c>
      <c r="H30" s="183">
        <f t="shared" si="0"/>
        <v>2160.6578947368421</v>
      </c>
      <c r="I30" s="183">
        <f>H30/G4</f>
        <v>19.642344497607656</v>
      </c>
    </row>
    <row r="31" spans="1:9" ht="15.5">
      <c r="A31" s="178"/>
      <c r="B31" s="179">
        <v>1</v>
      </c>
      <c r="C31" s="297" t="s">
        <v>17</v>
      </c>
      <c r="D31" s="180">
        <v>2</v>
      </c>
      <c r="E31" s="179">
        <f t="shared" si="2"/>
        <v>120</v>
      </c>
      <c r="F31" s="181">
        <f>Personnel!Q16</f>
        <v>12.825657894736842</v>
      </c>
      <c r="G31" s="182">
        <f>F31/G4</f>
        <v>0.11659688995215312</v>
      </c>
      <c r="H31" s="183">
        <f t="shared" si="0"/>
        <v>1539.078947368421</v>
      </c>
      <c r="I31" s="183">
        <f>H31/G4</f>
        <v>13.991626794258373</v>
      </c>
    </row>
    <row r="32" spans="1:9" ht="15.5">
      <c r="A32" s="184" t="s">
        <v>256</v>
      </c>
      <c r="B32" s="179"/>
      <c r="C32" s="297"/>
      <c r="D32" s="180"/>
      <c r="E32" s="180"/>
      <c r="F32" s="185">
        <f>SUM(F28:F31)</f>
        <v>112.1611842105263</v>
      </c>
      <c r="G32" s="185">
        <f>SUM(G28:G31)</f>
        <v>1.0196471291866027</v>
      </c>
      <c r="H32" s="185">
        <f>SUM(H29:H31)</f>
        <v>4794.4736842105258</v>
      </c>
      <c r="I32" s="185">
        <f>SUM(I29:I31)</f>
        <v>43.586124401913878</v>
      </c>
    </row>
    <row r="33" spans="1:9" s="14" customFormat="1" ht="15.5">
      <c r="A33" s="186" t="s">
        <v>257</v>
      </c>
      <c r="B33" s="187"/>
      <c r="C33" s="593"/>
      <c r="D33" s="188"/>
      <c r="E33" s="187"/>
      <c r="F33" s="189">
        <f>SUM(F17+F24+F28+F32)</f>
        <v>284.73026315789468</v>
      </c>
      <c r="G33" s="189">
        <f>SUM(G17+G24+G28+G32)</f>
        <v>2.5884569377990427</v>
      </c>
      <c r="H33" s="189">
        <f>SUM(H17+H24+H28+H32)</f>
        <v>26276.315789473687</v>
      </c>
      <c r="I33" s="189">
        <f>SUM(I17+I24+I28+I32)</f>
        <v>238.8755980861244</v>
      </c>
    </row>
    <row r="34" spans="1:9" s="14" customFormat="1" ht="15.5">
      <c r="A34" s="174" t="s">
        <v>19</v>
      </c>
      <c r="B34" s="468"/>
      <c r="C34" s="462"/>
      <c r="D34" s="456"/>
      <c r="E34" s="468"/>
      <c r="F34" s="461"/>
      <c r="G34" s="469"/>
      <c r="H34" s="200"/>
      <c r="I34" s="200"/>
    </row>
    <row r="35" spans="1:9" ht="31">
      <c r="A35" s="178" t="s">
        <v>242</v>
      </c>
      <c r="B35" s="179">
        <v>1</v>
      </c>
      <c r="C35" s="297" t="s">
        <v>185</v>
      </c>
      <c r="D35" s="180">
        <v>2</v>
      </c>
      <c r="E35" s="179">
        <f>D35*60</f>
        <v>120</v>
      </c>
      <c r="F35" s="191">
        <f>Personnel!Q15</f>
        <v>18.005482456140349</v>
      </c>
      <c r="G35" s="182">
        <f>F35/G4</f>
        <v>0.16368620414673044</v>
      </c>
      <c r="H35" s="183">
        <f t="shared" ref="H35:H38" si="3">B35*E35*F35</f>
        <v>2160.6578947368421</v>
      </c>
      <c r="I35" s="183">
        <f>H35/G4</f>
        <v>19.642344497607656</v>
      </c>
    </row>
    <row r="36" spans="1:9" ht="15.5">
      <c r="A36" s="178"/>
      <c r="B36" s="179">
        <v>2</v>
      </c>
      <c r="C36" s="297" t="s">
        <v>184</v>
      </c>
      <c r="D36" s="180">
        <v>2</v>
      </c>
      <c r="E36" s="179">
        <f>D36*60</f>
        <v>120</v>
      </c>
      <c r="F36" s="191">
        <f>Personnel!Q22</f>
        <v>2.2807017543859649</v>
      </c>
      <c r="G36" s="182">
        <f>F36/G4</f>
        <v>2.0733652312599681E-2</v>
      </c>
      <c r="H36" s="183">
        <f t="shared" si="3"/>
        <v>547.36842105263156</v>
      </c>
      <c r="I36" s="183">
        <f>H36/G4</f>
        <v>4.9760765550239237</v>
      </c>
    </row>
    <row r="37" spans="1:9" ht="15.5">
      <c r="A37" s="178"/>
      <c r="B37" s="179">
        <v>1</v>
      </c>
      <c r="C37" s="297" t="s">
        <v>17</v>
      </c>
      <c r="D37" s="180">
        <v>2</v>
      </c>
      <c r="E37" s="179">
        <f>D37*60</f>
        <v>120</v>
      </c>
      <c r="F37" s="191">
        <f>Personnel!Q25</f>
        <v>12.825657894736842</v>
      </c>
      <c r="G37" s="182">
        <f>F37/G4</f>
        <v>0.11659688995215312</v>
      </c>
      <c r="H37" s="183">
        <f t="shared" si="3"/>
        <v>1539.078947368421</v>
      </c>
      <c r="I37" s="183">
        <f>H37/G4</f>
        <v>13.991626794258373</v>
      </c>
    </row>
    <row r="38" spans="1:9" ht="17.5" customHeight="1">
      <c r="A38" s="192"/>
      <c r="B38" s="179">
        <v>1</v>
      </c>
      <c r="C38" s="178" t="s">
        <v>16</v>
      </c>
      <c r="D38" s="180">
        <v>2</v>
      </c>
      <c r="E38" s="179">
        <f>D38*60</f>
        <v>120</v>
      </c>
      <c r="F38" s="191">
        <f>Personnel!Q27</f>
        <v>12.825657894736842</v>
      </c>
      <c r="G38" s="182">
        <f>F38/G4</f>
        <v>0.11659688995215312</v>
      </c>
      <c r="H38" s="183">
        <f t="shared" si="3"/>
        <v>1539.078947368421</v>
      </c>
      <c r="I38" s="183">
        <f>H38/G4</f>
        <v>13.991626794258373</v>
      </c>
    </row>
    <row r="39" spans="1:9" s="14" customFormat="1" ht="15.5">
      <c r="A39" s="186" t="s">
        <v>370</v>
      </c>
      <c r="B39" s="187"/>
      <c r="C39" s="193"/>
      <c r="D39" s="188"/>
      <c r="E39" s="188"/>
      <c r="F39" s="189">
        <f>SUM(F35:F38)</f>
        <v>45.9375</v>
      </c>
      <c r="G39" s="189">
        <f>SUM(G35:G38)</f>
        <v>0.41761363636363635</v>
      </c>
      <c r="H39" s="189">
        <f>SUM(H35:H38)</f>
        <v>5786.1842105263158</v>
      </c>
      <c r="I39" s="189">
        <f>SUM(I35:I38)</f>
        <v>52.601674641148328</v>
      </c>
    </row>
    <row r="40" spans="1:9" s="7" customFormat="1" ht="15.5">
      <c r="A40" s="160" t="s">
        <v>258</v>
      </c>
      <c r="B40" s="194"/>
      <c r="C40" s="195"/>
      <c r="D40" s="194"/>
      <c r="E40" s="194"/>
      <c r="F40" s="196"/>
      <c r="G40" s="197"/>
      <c r="H40" s="171"/>
      <c r="I40" s="171"/>
    </row>
    <row r="41" spans="1:9" ht="15.5">
      <c r="A41" s="171" t="s">
        <v>377</v>
      </c>
      <c r="B41" s="433" t="s">
        <v>23</v>
      </c>
      <c r="C41" s="433" t="s">
        <v>382</v>
      </c>
      <c r="D41" s="198"/>
      <c r="E41" s="198"/>
      <c r="F41" s="198"/>
      <c r="G41" s="199"/>
      <c r="H41" s="199"/>
      <c r="I41" s="199"/>
    </row>
    <row r="42" spans="1:9" ht="15.5">
      <c r="A42" s="155" t="s">
        <v>10</v>
      </c>
      <c r="B42" s="180">
        <f>Personnel!H33</f>
        <v>55</v>
      </c>
      <c r="C42" s="344">
        <f>Personnel!I33</f>
        <v>0.44715447154471544</v>
      </c>
      <c r="D42" s="176"/>
      <c r="E42" s="176"/>
      <c r="F42" s="176"/>
      <c r="G42" s="158"/>
      <c r="H42" s="158"/>
      <c r="I42" s="158"/>
    </row>
    <row r="43" spans="1:9" ht="15.5">
      <c r="A43" s="155" t="s">
        <v>19</v>
      </c>
      <c r="B43" s="180">
        <f>Personnel!H34</f>
        <v>68</v>
      </c>
      <c r="C43" s="344">
        <f>Personnel!I34</f>
        <v>0.55284552845528456</v>
      </c>
      <c r="D43" s="176"/>
      <c r="E43" s="176"/>
      <c r="F43" s="176"/>
      <c r="G43" s="158"/>
      <c r="H43" s="158"/>
      <c r="I43" s="158"/>
    </row>
    <row r="44" spans="1:9" ht="15.5">
      <c r="A44" s="155" t="s">
        <v>20</v>
      </c>
      <c r="B44" s="180">
        <f>SUM(B42+B43)</f>
        <v>123</v>
      </c>
      <c r="C44" s="180">
        <f>SUM(C42+C43)</f>
        <v>1</v>
      </c>
      <c r="D44" s="176"/>
      <c r="E44" s="176"/>
      <c r="F44" s="176"/>
      <c r="G44" s="158"/>
      <c r="H44" s="158"/>
      <c r="I44" s="158"/>
    </row>
    <row r="45" spans="1:9" ht="15.5">
      <c r="A45" s="171" t="s">
        <v>386</v>
      </c>
      <c r="B45" s="352" t="s">
        <v>387</v>
      </c>
      <c r="C45" s="171"/>
      <c r="D45" s="352" t="s">
        <v>433</v>
      </c>
      <c r="E45" s="195"/>
      <c r="F45" s="198"/>
      <c r="G45" s="199"/>
      <c r="H45" s="199"/>
      <c r="I45" s="199"/>
    </row>
    <row r="46" spans="1:9" s="14" customFormat="1" ht="15.5">
      <c r="A46" s="199"/>
      <c r="B46" s="160" t="s">
        <v>233</v>
      </c>
      <c r="C46" s="471" t="s">
        <v>32</v>
      </c>
      <c r="D46" s="160" t="s">
        <v>233</v>
      </c>
      <c r="E46" s="433" t="s">
        <v>32</v>
      </c>
      <c r="F46" s="198"/>
      <c r="G46" s="199"/>
      <c r="H46" s="199"/>
      <c r="I46" s="199"/>
    </row>
    <row r="47" spans="1:9" ht="15.5">
      <c r="A47" s="158" t="s">
        <v>243</v>
      </c>
      <c r="B47" s="190">
        <f>H33</f>
        <v>26276.315789473687</v>
      </c>
      <c r="C47" s="470">
        <f>B47/G4</f>
        <v>238.87559808612443</v>
      </c>
      <c r="D47" s="225">
        <f>B47/B42</f>
        <v>477.75119617224885</v>
      </c>
      <c r="E47" s="190">
        <f>D47/G4</f>
        <v>4.3431926924749895</v>
      </c>
      <c r="F47" s="176"/>
      <c r="G47" s="158"/>
      <c r="H47" s="158"/>
      <c r="I47" s="158"/>
    </row>
    <row r="48" spans="1:9" ht="15.5">
      <c r="A48" s="158" t="s">
        <v>244</v>
      </c>
      <c r="B48" s="190">
        <f>H39</f>
        <v>5786.1842105263158</v>
      </c>
      <c r="C48" s="470">
        <f>B48/G4</f>
        <v>52.601674641148328</v>
      </c>
      <c r="D48" s="225">
        <f>B48/B43</f>
        <v>85.090944272445824</v>
      </c>
      <c r="E48" s="190">
        <f>D48/G4</f>
        <v>0.77355403884041662</v>
      </c>
      <c r="F48" s="176"/>
      <c r="G48" s="158"/>
      <c r="H48" s="158"/>
      <c r="I48" s="158"/>
    </row>
    <row r="49" spans="1:9" ht="15.5">
      <c r="A49" s="265" t="s">
        <v>371</v>
      </c>
      <c r="B49" s="472">
        <f>SUM(B47:B48)</f>
        <v>32062.500000000004</v>
      </c>
      <c r="C49" s="472">
        <f>SUM(C47:C48)</f>
        <v>291.47727272727275</v>
      </c>
      <c r="D49" s="472">
        <f>SUM(D47:D48)</f>
        <v>562.84214044469468</v>
      </c>
      <c r="E49" s="472">
        <f>SUM(E47:E48)</f>
        <v>5.1167467313154065</v>
      </c>
      <c r="F49" s="193"/>
      <c r="G49" s="265"/>
      <c r="H49" s="265"/>
      <c r="I49" s="265"/>
    </row>
    <row r="50" spans="1:9" ht="15.5">
      <c r="A50" s="171" t="s">
        <v>495</v>
      </c>
      <c r="B50" s="201"/>
      <c r="C50" s="201"/>
      <c r="D50" s="201"/>
      <c r="E50" s="201"/>
      <c r="F50" s="198"/>
      <c r="G50" s="199"/>
      <c r="H50" s="199"/>
      <c r="I50" s="199"/>
    </row>
    <row r="51" spans="1:9" ht="15.5">
      <c r="A51" s="158" t="s">
        <v>376</v>
      </c>
      <c r="B51" s="445">
        <v>4.58</v>
      </c>
      <c r="C51" s="445"/>
      <c r="D51" s="445">
        <v>4.58</v>
      </c>
      <c r="E51" s="590"/>
      <c r="F51" s="500"/>
      <c r="G51" s="177"/>
      <c r="H51" s="177"/>
      <c r="I51" s="177"/>
    </row>
    <row r="52" spans="1:9" ht="15.5">
      <c r="A52" s="158" t="s">
        <v>375</v>
      </c>
      <c r="B52" s="445">
        <v>5</v>
      </c>
      <c r="C52" s="445"/>
      <c r="D52" s="445">
        <v>5</v>
      </c>
      <c r="E52" s="590"/>
      <c r="F52" s="500"/>
      <c r="G52" s="177"/>
      <c r="H52" s="177"/>
      <c r="I52" s="177"/>
    </row>
    <row r="53" spans="1:9" ht="15.5">
      <c r="A53" s="158" t="s">
        <v>499</v>
      </c>
      <c r="B53" s="202">
        <f>B47/B51</f>
        <v>5737.1868535968752</v>
      </c>
      <c r="C53" s="202">
        <f>B53/G4</f>
        <v>52.156244123607955</v>
      </c>
      <c r="D53" s="202">
        <f>D47/D51</f>
        <v>104.31248824721591</v>
      </c>
      <c r="E53" s="200">
        <f>D53/G4</f>
        <v>0.94829534770196278</v>
      </c>
      <c r="F53" s="459"/>
      <c r="G53" s="382"/>
      <c r="H53" s="382"/>
      <c r="I53" s="382"/>
    </row>
    <row r="54" spans="1:9" ht="15.5">
      <c r="A54" s="158" t="s">
        <v>500</v>
      </c>
      <c r="B54" s="202">
        <f>B48/B51</f>
        <v>1263.35899793151</v>
      </c>
      <c r="C54" s="202">
        <f>B54/G4</f>
        <v>11.485081799377364</v>
      </c>
      <c r="D54" s="202">
        <f>D48/D51</f>
        <v>18.57880879311044</v>
      </c>
      <c r="E54" s="200">
        <f>D54/G4</f>
        <v>0.16889826175554945</v>
      </c>
      <c r="F54" s="459"/>
      <c r="G54" s="382"/>
      <c r="H54" s="382"/>
      <c r="I54" s="382"/>
    </row>
    <row r="55" spans="1:9" ht="15.5">
      <c r="A55" s="279" t="s">
        <v>501</v>
      </c>
      <c r="B55" s="399">
        <f>SUM(B53:B54)</f>
        <v>7000.5458515283854</v>
      </c>
      <c r="C55" s="399">
        <f>SUM(C53:C54)</f>
        <v>63.641325922985317</v>
      </c>
      <c r="D55" s="399">
        <f>SUM(D53:D54)</f>
        <v>122.89129704032635</v>
      </c>
      <c r="E55" s="399">
        <f>SUM(E53:E54)</f>
        <v>1.1171936094575123</v>
      </c>
      <c r="F55" s="193"/>
      <c r="G55" s="265"/>
      <c r="H55" s="265"/>
      <c r="I55" s="265"/>
    </row>
  </sheetData>
  <mergeCells count="7">
    <mergeCell ref="B1:G2"/>
    <mergeCell ref="B7:G7"/>
    <mergeCell ref="A10:A11"/>
    <mergeCell ref="B10:B11"/>
    <mergeCell ref="C10:C11"/>
    <mergeCell ref="D10:D11"/>
    <mergeCell ref="E10:E1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7"/>
  <sheetViews>
    <sheetView topLeftCell="A51" zoomScale="74" zoomScaleNormal="74" workbookViewId="0">
      <selection activeCell="M78" sqref="M78"/>
    </sheetView>
  </sheetViews>
  <sheetFormatPr defaultColWidth="9.1796875" defaultRowHeight="12.5"/>
  <cols>
    <col min="1" max="1" width="48" style="11" customWidth="1"/>
    <col min="2" max="2" width="26.36328125" style="11" customWidth="1"/>
    <col min="3" max="3" width="12.453125" style="11" customWidth="1"/>
    <col min="4" max="4" width="17" style="11" customWidth="1"/>
    <col min="5" max="7" width="18.1796875" style="11" customWidth="1"/>
    <col min="8" max="8" width="18.453125" style="11" customWidth="1"/>
    <col min="9" max="9" width="19.26953125" style="11" customWidth="1"/>
    <col min="10" max="10" width="25.54296875" style="11" customWidth="1"/>
    <col min="11" max="11" width="45.90625" style="11" customWidth="1"/>
    <col min="12" max="12" width="24.90625" style="11" customWidth="1"/>
    <col min="13" max="13" width="42.453125" style="11" customWidth="1"/>
    <col min="14" max="16384" width="9.1796875" style="11"/>
  </cols>
  <sheetData>
    <row r="1" spans="1:13" ht="46.5">
      <c r="A1" s="155" t="str">
        <f>'[2]List of forms'!A1</f>
        <v xml:space="preserve">HCVTX </v>
      </c>
      <c r="B1" s="155"/>
      <c r="C1" s="155" t="s">
        <v>137</v>
      </c>
      <c r="D1" s="155" t="s">
        <v>232</v>
      </c>
      <c r="E1" s="155" t="s">
        <v>377</v>
      </c>
      <c r="F1" s="155"/>
      <c r="G1" s="155"/>
      <c r="H1" s="155"/>
      <c r="I1" s="155" t="s">
        <v>23</v>
      </c>
      <c r="J1" s="155" t="s">
        <v>382</v>
      </c>
      <c r="K1" s="153" t="s">
        <v>567</v>
      </c>
      <c r="L1" s="15"/>
      <c r="M1" s="619"/>
    </row>
    <row r="2" spans="1:13" ht="15.5">
      <c r="A2" s="155" t="s">
        <v>400</v>
      </c>
      <c r="B2" s="153"/>
      <c r="C2" s="288" t="s">
        <v>32</v>
      </c>
      <c r="D2" s="288" t="s">
        <v>233</v>
      </c>
      <c r="E2" s="297" t="s">
        <v>10</v>
      </c>
      <c r="F2" s="680"/>
      <c r="G2" s="680"/>
      <c r="H2" s="297"/>
      <c r="I2" s="158">
        <f>Personnel!H33</f>
        <v>55</v>
      </c>
      <c r="J2" s="420">
        <f>Personnel!I33</f>
        <v>0.44715447154471544</v>
      </c>
      <c r="K2" s="155" t="s">
        <v>566</v>
      </c>
      <c r="L2" s="286" t="s">
        <v>564</v>
      </c>
      <c r="M2" s="286" t="s">
        <v>570</v>
      </c>
    </row>
    <row r="3" spans="1:13" ht="15.5">
      <c r="A3" s="155"/>
      <c r="B3" s="155"/>
      <c r="C3" s="180">
        <v>1</v>
      </c>
      <c r="D3" s="180">
        <v>110</v>
      </c>
      <c r="E3" s="297" t="s">
        <v>19</v>
      </c>
      <c r="F3" s="680"/>
      <c r="G3" s="680"/>
      <c r="H3" s="297"/>
      <c r="I3" s="158">
        <f>Personnel!H34</f>
        <v>68</v>
      </c>
      <c r="J3" s="420">
        <f>Personnel!I34</f>
        <v>0.55284552845528456</v>
      </c>
      <c r="K3" s="158">
        <v>5</v>
      </c>
      <c r="L3" s="294">
        <v>4.58</v>
      </c>
      <c r="M3" s="294">
        <v>0.4</v>
      </c>
    </row>
    <row r="4" spans="1:13" s="9" customFormat="1" ht="15.5">
      <c r="A4" s="158" t="s">
        <v>246</v>
      </c>
      <c r="B4" s="158"/>
      <c r="C4" s="421"/>
      <c r="D4" s="288"/>
      <c r="E4" s="288" t="s">
        <v>358</v>
      </c>
      <c r="F4" s="288"/>
      <c r="G4" s="288"/>
      <c r="H4" s="288"/>
      <c r="I4" s="158">
        <f>SUM(I2:I3)</f>
        <v>123</v>
      </c>
      <c r="J4" s="158">
        <f>SUM(J2:J3)</f>
        <v>1</v>
      </c>
      <c r="K4" s="158">
        <v>10</v>
      </c>
      <c r="L4" s="294">
        <v>8.98</v>
      </c>
      <c r="M4" s="52"/>
    </row>
    <row r="5" spans="1:13" s="9" customFormat="1" ht="15.5">
      <c r="A5" s="158" t="s">
        <v>325</v>
      </c>
      <c r="B5" s="158"/>
      <c r="C5" s="159"/>
      <c r="D5" s="158"/>
      <c r="E5" s="158"/>
      <c r="F5" s="158"/>
      <c r="G5" s="158"/>
      <c r="H5" s="158"/>
      <c r="I5" s="158"/>
      <c r="J5" s="158"/>
      <c r="K5" s="158">
        <v>20</v>
      </c>
      <c r="L5" s="294">
        <v>14.88</v>
      </c>
      <c r="M5" s="52"/>
    </row>
    <row r="6" spans="1:13" s="9" customFormat="1" ht="18.5" customHeight="1">
      <c r="A6" s="158" t="s">
        <v>317</v>
      </c>
      <c r="B6" s="158">
        <v>8</v>
      </c>
      <c r="C6" s="421"/>
      <c r="D6" s="158"/>
      <c r="E6" s="158"/>
      <c r="F6" s="158"/>
      <c r="G6" s="158"/>
      <c r="H6" s="158"/>
      <c r="I6" s="158"/>
      <c r="J6" s="297"/>
      <c r="K6" s="158"/>
      <c r="L6" s="52"/>
      <c r="M6" s="52"/>
    </row>
    <row r="7" spans="1:13" s="9" customFormat="1" ht="13.5" customHeight="1">
      <c r="A7" s="158" t="s">
        <v>440</v>
      </c>
      <c r="B7" s="158" t="s">
        <v>320</v>
      </c>
      <c r="C7" s="763"/>
      <c r="D7" s="763"/>
      <c r="E7" s="763"/>
      <c r="F7" s="763"/>
      <c r="G7" s="763"/>
      <c r="H7" s="763"/>
      <c r="I7" s="763"/>
      <c r="J7" s="158"/>
      <c r="K7" s="158"/>
      <c r="L7" s="52"/>
      <c r="M7" s="52"/>
    </row>
    <row r="8" spans="1:13" s="31" customFormat="1" ht="20" customHeight="1">
      <c r="A8" s="160" t="s">
        <v>445</v>
      </c>
      <c r="B8" s="160" t="s">
        <v>62</v>
      </c>
      <c r="C8" s="160" t="s">
        <v>35</v>
      </c>
      <c r="D8" s="160" t="s">
        <v>282</v>
      </c>
      <c r="E8" s="160" t="s">
        <v>248</v>
      </c>
      <c r="F8" s="160"/>
      <c r="G8" s="160"/>
      <c r="H8" s="160" t="s">
        <v>259</v>
      </c>
      <c r="I8" s="160" t="s">
        <v>63</v>
      </c>
      <c r="J8" s="160" t="s">
        <v>441</v>
      </c>
      <c r="K8" s="352" t="s">
        <v>9</v>
      </c>
      <c r="L8" s="620" t="s">
        <v>568</v>
      </c>
      <c r="M8" s="620" t="s">
        <v>569</v>
      </c>
    </row>
    <row r="9" spans="1:13" s="9" customFormat="1" ht="14.25" customHeight="1">
      <c r="A9" s="406" t="s">
        <v>10</v>
      </c>
      <c r="B9" s="406"/>
      <c r="C9" s="457"/>
      <c r="D9" s="458"/>
      <c r="E9" s="458"/>
      <c r="F9" s="458"/>
      <c r="G9" s="458"/>
      <c r="H9" s="458"/>
      <c r="I9" s="459"/>
      <c r="J9" s="459"/>
      <c r="K9" s="382"/>
      <c r="L9" s="52"/>
      <c r="M9" s="52"/>
    </row>
    <row r="10" spans="1:13" s="9" customFormat="1" ht="15.5">
      <c r="A10" s="297" t="s">
        <v>64</v>
      </c>
      <c r="B10" s="297" t="s">
        <v>65</v>
      </c>
      <c r="C10" s="422">
        <v>4</v>
      </c>
      <c r="D10" s="342">
        <v>1800</v>
      </c>
      <c r="E10" s="342">
        <f t="shared" ref="E10:E17" si="0">C10*D10</f>
        <v>7200</v>
      </c>
      <c r="F10" s="342"/>
      <c r="G10" s="342"/>
      <c r="H10" s="342">
        <f>E10/D3</f>
        <v>65.454545454545453</v>
      </c>
      <c r="I10" s="180">
        <v>2018</v>
      </c>
      <c r="J10" s="180">
        <v>5</v>
      </c>
      <c r="K10" s="158"/>
      <c r="L10" s="325">
        <f>E10/L3</f>
        <v>1572.0524017467249</v>
      </c>
      <c r="M10" s="342">
        <f>L10/D3</f>
        <v>14.291385470424771</v>
      </c>
    </row>
    <row r="11" spans="1:13" s="9" customFormat="1" ht="14.25" customHeight="1">
      <c r="A11" s="297" t="s">
        <v>66</v>
      </c>
      <c r="B11" s="297" t="s">
        <v>67</v>
      </c>
      <c r="C11" s="422">
        <v>4</v>
      </c>
      <c r="D11" s="342">
        <v>15000</v>
      </c>
      <c r="E11" s="342">
        <f t="shared" si="0"/>
        <v>60000</v>
      </c>
      <c r="F11" s="342"/>
      <c r="G11" s="342"/>
      <c r="H11" s="342">
        <f>E11/D3</f>
        <v>545.4545454545455</v>
      </c>
      <c r="I11" s="180">
        <v>2017</v>
      </c>
      <c r="J11" s="180">
        <v>5</v>
      </c>
      <c r="K11" s="158"/>
      <c r="L11" s="325">
        <f>E11/L3</f>
        <v>13100.436681222707</v>
      </c>
      <c r="M11" s="342">
        <f>L11/D3</f>
        <v>119.09487892020643</v>
      </c>
    </row>
    <row r="12" spans="1:13" s="9" customFormat="1" ht="15.5">
      <c r="A12" s="297" t="s">
        <v>68</v>
      </c>
      <c r="B12" s="297" t="s">
        <v>69</v>
      </c>
      <c r="C12" s="422">
        <v>4</v>
      </c>
      <c r="D12" s="342">
        <v>100000</v>
      </c>
      <c r="E12" s="342">
        <f t="shared" si="0"/>
        <v>400000</v>
      </c>
      <c r="F12" s="342"/>
      <c r="G12" s="342"/>
      <c r="H12" s="342">
        <f>E12/D3</f>
        <v>3636.3636363636365</v>
      </c>
      <c r="I12" s="180">
        <v>2017</v>
      </c>
      <c r="J12" s="180">
        <v>10</v>
      </c>
      <c r="K12" s="158"/>
      <c r="L12" s="325">
        <f>E12/L4</f>
        <v>44543.429844097991</v>
      </c>
      <c r="M12" s="342">
        <f>L12/D3</f>
        <v>404.94027130998171</v>
      </c>
    </row>
    <row r="13" spans="1:13" s="9" customFormat="1" ht="15.5">
      <c r="A13" s="297" t="s">
        <v>70</v>
      </c>
      <c r="B13" s="297" t="s">
        <v>71</v>
      </c>
      <c r="C13" s="422">
        <v>4</v>
      </c>
      <c r="D13" s="342">
        <v>50000</v>
      </c>
      <c r="E13" s="342">
        <f t="shared" si="0"/>
        <v>200000</v>
      </c>
      <c r="F13" s="342"/>
      <c r="G13" s="342"/>
      <c r="H13" s="342">
        <f>E13/D3</f>
        <v>1818.1818181818182</v>
      </c>
      <c r="I13" s="180">
        <v>2017</v>
      </c>
      <c r="J13" s="180">
        <v>10</v>
      </c>
      <c r="K13" s="158"/>
      <c r="L13" s="325"/>
      <c r="M13" s="342"/>
    </row>
    <row r="14" spans="1:13" s="9" customFormat="1" ht="15.5">
      <c r="A14" s="423" t="s">
        <v>326</v>
      </c>
      <c r="B14" s="423"/>
      <c r="C14" s="424">
        <v>4</v>
      </c>
      <c r="D14" s="425">
        <v>20000</v>
      </c>
      <c r="E14" s="425">
        <f t="shared" si="0"/>
        <v>80000</v>
      </c>
      <c r="F14" s="425"/>
      <c r="G14" s="425"/>
      <c r="H14" s="425">
        <f>E14/D3</f>
        <v>727.27272727272725</v>
      </c>
      <c r="I14" s="426">
        <v>2017</v>
      </c>
      <c r="J14" s="426">
        <v>10</v>
      </c>
      <c r="K14" s="427" t="s">
        <v>446</v>
      </c>
      <c r="L14" s="325"/>
      <c r="M14" s="671"/>
    </row>
    <row r="15" spans="1:13" s="9" customFormat="1" ht="15.5">
      <c r="A15" s="297" t="s">
        <v>72</v>
      </c>
      <c r="B15" s="297"/>
      <c r="C15" s="422">
        <v>4</v>
      </c>
      <c r="D15" s="342">
        <v>20000</v>
      </c>
      <c r="E15" s="342">
        <f t="shared" si="0"/>
        <v>80000</v>
      </c>
      <c r="F15" s="342"/>
      <c r="G15" s="342"/>
      <c r="H15" s="342">
        <f>E15/D3</f>
        <v>727.27272727272725</v>
      </c>
      <c r="I15" s="180">
        <v>2018</v>
      </c>
      <c r="J15" s="180">
        <v>10</v>
      </c>
      <c r="K15" s="158"/>
      <c r="L15" s="325">
        <f>E15/L4</f>
        <v>8908.6859688195982</v>
      </c>
      <c r="M15" s="342">
        <f>L15/D3</f>
        <v>80.988054261996353</v>
      </c>
    </row>
    <row r="16" spans="1:13" s="9" customFormat="1" ht="15.5">
      <c r="A16" s="297" t="s">
        <v>74</v>
      </c>
      <c r="B16" s="297"/>
      <c r="C16" s="422">
        <v>1</v>
      </c>
      <c r="D16" s="342">
        <v>8000</v>
      </c>
      <c r="E16" s="342">
        <f t="shared" si="0"/>
        <v>8000</v>
      </c>
      <c r="F16" s="342"/>
      <c r="G16" s="342"/>
      <c r="H16" s="342">
        <f>E16/D3</f>
        <v>72.727272727272734</v>
      </c>
      <c r="I16" s="180">
        <v>2019</v>
      </c>
      <c r="J16" s="180">
        <v>10</v>
      </c>
      <c r="K16" s="158"/>
      <c r="L16" s="325">
        <f>E16/L4</f>
        <v>890.86859688195989</v>
      </c>
      <c r="M16" s="342">
        <f>L16/D3</f>
        <v>8.0988054261996361</v>
      </c>
    </row>
    <row r="17" spans="1:13" s="9" customFormat="1" ht="15.5">
      <c r="A17" s="301" t="s">
        <v>64</v>
      </c>
      <c r="B17" s="297" t="s">
        <v>65</v>
      </c>
      <c r="C17" s="422">
        <v>2</v>
      </c>
      <c r="D17" s="342">
        <v>2000</v>
      </c>
      <c r="E17" s="342">
        <f t="shared" si="0"/>
        <v>4000</v>
      </c>
      <c r="F17" s="342"/>
      <c r="G17" s="342"/>
      <c r="H17" s="342">
        <f>E17/D3</f>
        <v>36.363636363636367</v>
      </c>
      <c r="I17" s="180">
        <v>2020</v>
      </c>
      <c r="J17" s="180">
        <v>5</v>
      </c>
      <c r="K17" s="158"/>
      <c r="L17" s="325">
        <f>E17/L3</f>
        <v>873.36244541484712</v>
      </c>
      <c r="M17" s="342">
        <f>L17/D3</f>
        <v>7.9396585946804281</v>
      </c>
    </row>
    <row r="18" spans="1:13" s="9" customFormat="1" ht="15.5">
      <c r="A18" s="428" t="s">
        <v>442</v>
      </c>
      <c r="B18" s="429"/>
      <c r="C18" s="430"/>
      <c r="D18" s="431"/>
      <c r="E18" s="432">
        <f>SUM(E10+E11+E12+E13+E15+E16+E17)</f>
        <v>759200</v>
      </c>
      <c r="F18" s="432"/>
      <c r="G18" s="432"/>
      <c r="H18" s="432">
        <f>SUM(H10+H11+H12+H13+H15+H16+H17)</f>
        <v>6901.818181818182</v>
      </c>
      <c r="I18" s="188"/>
      <c r="J18" s="188"/>
      <c r="K18" s="265"/>
      <c r="L18" s="432">
        <f>SUM(L10+L11+L12+L13+L15+L16+L17)</f>
        <v>69888.835938183838</v>
      </c>
      <c r="M18" s="432">
        <f>SUM(M10+M11+M12+M13+M15+M16+M17)</f>
        <v>635.3530539834893</v>
      </c>
    </row>
    <row r="19" spans="1:13" s="9" customFormat="1" ht="15.5">
      <c r="A19" s="361" t="s">
        <v>19</v>
      </c>
      <c r="B19" s="400"/>
      <c r="C19" s="455"/>
      <c r="D19" s="447"/>
      <c r="E19" s="447"/>
      <c r="F19" s="447"/>
      <c r="G19" s="447"/>
      <c r="H19" s="447"/>
      <c r="I19" s="456"/>
      <c r="J19" s="456"/>
      <c r="K19" s="382"/>
      <c r="L19" s="52"/>
      <c r="M19" s="52"/>
    </row>
    <row r="20" spans="1:13" s="9" customFormat="1" ht="15.5">
      <c r="A20" s="297" t="s">
        <v>64</v>
      </c>
      <c r="B20" s="297" t="s">
        <v>76</v>
      </c>
      <c r="C20" s="422">
        <v>3</v>
      </c>
      <c r="D20" s="342">
        <v>2000</v>
      </c>
      <c r="E20" s="342">
        <f>C20*D20</f>
        <v>6000</v>
      </c>
      <c r="F20" s="342"/>
      <c r="G20" s="342"/>
      <c r="H20" s="342">
        <f>E20/D3</f>
        <v>54.545454545454547</v>
      </c>
      <c r="I20" s="180">
        <v>2019</v>
      </c>
      <c r="J20" s="180">
        <v>5</v>
      </c>
      <c r="K20" s="158"/>
      <c r="L20" s="325">
        <f>E20/L3</f>
        <v>1310.0436681222707</v>
      </c>
      <c r="M20" s="342">
        <f>L20/D3</f>
        <v>11.909487892020643</v>
      </c>
    </row>
    <row r="21" spans="1:13" s="9" customFormat="1" ht="14.25" customHeight="1">
      <c r="A21" s="297" t="s">
        <v>66</v>
      </c>
      <c r="B21" s="297" t="s">
        <v>67</v>
      </c>
      <c r="C21" s="422">
        <v>3</v>
      </c>
      <c r="D21" s="342">
        <v>15000</v>
      </c>
      <c r="E21" s="342">
        <f t="shared" ref="E21:E28" si="1">C21*D21</f>
        <v>45000</v>
      </c>
      <c r="F21" s="342"/>
      <c r="G21" s="342"/>
      <c r="H21" s="342">
        <f>E21/D3</f>
        <v>409.09090909090907</v>
      </c>
      <c r="I21" s="180">
        <v>2017</v>
      </c>
      <c r="J21" s="180">
        <v>5</v>
      </c>
      <c r="K21" s="158"/>
      <c r="L21" s="325">
        <f>E21/L3</f>
        <v>9825.3275109170299</v>
      </c>
      <c r="M21" s="342">
        <f>L21/D3</f>
        <v>89.321159190154816</v>
      </c>
    </row>
    <row r="22" spans="1:13" s="9" customFormat="1" ht="15.5">
      <c r="A22" s="297" t="s">
        <v>68</v>
      </c>
      <c r="B22" s="297" t="s">
        <v>69</v>
      </c>
      <c r="C22" s="422">
        <v>3</v>
      </c>
      <c r="D22" s="342">
        <v>100000</v>
      </c>
      <c r="E22" s="342">
        <f t="shared" si="1"/>
        <v>300000</v>
      </c>
      <c r="F22" s="342"/>
      <c r="G22" s="342"/>
      <c r="H22" s="342">
        <f>E22/D3</f>
        <v>2727.2727272727275</v>
      </c>
      <c r="I22" s="180">
        <v>2019</v>
      </c>
      <c r="J22" s="180">
        <v>10</v>
      </c>
      <c r="K22" s="158"/>
      <c r="L22" s="325">
        <f>E22/L4</f>
        <v>33407.572383073493</v>
      </c>
      <c r="M22" s="342">
        <f>L22/D3</f>
        <v>303.7052034824863</v>
      </c>
    </row>
    <row r="23" spans="1:13" s="9" customFormat="1" ht="15.5">
      <c r="A23" s="297" t="s">
        <v>77</v>
      </c>
      <c r="B23" s="297" t="s">
        <v>71</v>
      </c>
      <c r="C23" s="422">
        <v>4</v>
      </c>
      <c r="D23" s="342">
        <v>50000</v>
      </c>
      <c r="E23" s="342">
        <f t="shared" si="1"/>
        <v>200000</v>
      </c>
      <c r="F23" s="342"/>
      <c r="G23" s="342"/>
      <c r="H23" s="342">
        <f>E23/D3</f>
        <v>1818.1818181818182</v>
      </c>
      <c r="I23" s="180">
        <v>2019</v>
      </c>
      <c r="J23" s="180">
        <v>10</v>
      </c>
      <c r="K23" s="158"/>
      <c r="L23" s="325">
        <f>E23/L4</f>
        <v>22271.714922048996</v>
      </c>
      <c r="M23" s="342">
        <f>L23/D3</f>
        <v>202.47013565499086</v>
      </c>
    </row>
    <row r="24" spans="1:13" s="9" customFormat="1" ht="15.5">
      <c r="A24" s="423" t="s">
        <v>326</v>
      </c>
      <c r="B24" s="423"/>
      <c r="C24" s="424">
        <v>4</v>
      </c>
      <c r="D24" s="425">
        <v>20000</v>
      </c>
      <c r="E24" s="425">
        <f>C24*D24</f>
        <v>80000</v>
      </c>
      <c r="F24" s="425"/>
      <c r="G24" s="425"/>
      <c r="H24" s="425">
        <f>E24/D3</f>
        <v>727.27272727272725</v>
      </c>
      <c r="I24" s="426">
        <v>2019</v>
      </c>
      <c r="J24" s="426">
        <v>10</v>
      </c>
      <c r="K24" s="427" t="s">
        <v>446</v>
      </c>
      <c r="L24" s="325"/>
      <c r="M24" s="671"/>
    </row>
    <row r="25" spans="1:13" s="9" customFormat="1" ht="15.5">
      <c r="A25" s="297" t="s">
        <v>78</v>
      </c>
      <c r="B25" s="297"/>
      <c r="C25" s="422">
        <v>4</v>
      </c>
      <c r="D25" s="342">
        <v>10000</v>
      </c>
      <c r="E25" s="342">
        <f t="shared" si="1"/>
        <v>40000</v>
      </c>
      <c r="F25" s="342"/>
      <c r="G25" s="342"/>
      <c r="H25" s="342">
        <f>E25/D3</f>
        <v>363.63636363636363</v>
      </c>
      <c r="I25" s="180">
        <v>2019</v>
      </c>
      <c r="J25" s="180">
        <v>10</v>
      </c>
      <c r="K25" s="158"/>
      <c r="L25" s="325">
        <f>E25/L4</f>
        <v>4454.3429844097991</v>
      </c>
      <c r="M25" s="342">
        <f>L25/D3</f>
        <v>40.494027130998177</v>
      </c>
    </row>
    <row r="26" spans="1:13" s="9" customFormat="1" ht="15.5">
      <c r="A26" s="297" t="s">
        <v>79</v>
      </c>
      <c r="B26" s="297"/>
      <c r="C26" s="422">
        <v>2</v>
      </c>
      <c r="D26" s="342">
        <v>14000</v>
      </c>
      <c r="E26" s="342">
        <f t="shared" si="1"/>
        <v>28000</v>
      </c>
      <c r="F26" s="342"/>
      <c r="G26" s="342"/>
      <c r="H26" s="342">
        <f>E26/D3</f>
        <v>254.54545454545453</v>
      </c>
      <c r="I26" s="180">
        <v>2019</v>
      </c>
      <c r="J26" s="180">
        <v>10</v>
      </c>
      <c r="K26" s="158"/>
      <c r="L26" s="325">
        <f>E26/L4</f>
        <v>3118.0400890868596</v>
      </c>
      <c r="M26" s="342">
        <f>L26/D3</f>
        <v>28.345818991698724</v>
      </c>
    </row>
    <row r="27" spans="1:13" s="9" customFormat="1" ht="15.5">
      <c r="A27" s="297" t="s">
        <v>73</v>
      </c>
      <c r="B27" s="297"/>
      <c r="C27" s="422">
        <v>4</v>
      </c>
      <c r="D27" s="342">
        <v>4000</v>
      </c>
      <c r="E27" s="342">
        <f t="shared" si="1"/>
        <v>16000</v>
      </c>
      <c r="F27" s="342"/>
      <c r="G27" s="342"/>
      <c r="H27" s="342">
        <f>E27/D3</f>
        <v>145.45454545454547</v>
      </c>
      <c r="I27" s="180">
        <v>2019</v>
      </c>
      <c r="J27" s="180">
        <v>10</v>
      </c>
      <c r="K27" s="158"/>
      <c r="L27" s="325">
        <f>E27/L4</f>
        <v>1781.7371937639198</v>
      </c>
      <c r="M27" s="342">
        <f>L27/D3</f>
        <v>16.197610852399272</v>
      </c>
    </row>
    <row r="28" spans="1:13" s="9" customFormat="1" ht="15.5">
      <c r="A28" s="423" t="s">
        <v>80</v>
      </c>
      <c r="B28" s="423"/>
      <c r="C28" s="424">
        <v>3</v>
      </c>
      <c r="D28" s="425">
        <v>20000</v>
      </c>
      <c r="E28" s="425">
        <f t="shared" si="1"/>
        <v>60000</v>
      </c>
      <c r="F28" s="425"/>
      <c r="G28" s="425"/>
      <c r="H28" s="425">
        <f>E28/D3</f>
        <v>545.4545454545455</v>
      </c>
      <c r="I28" s="426">
        <v>2019</v>
      </c>
      <c r="J28" s="426">
        <v>20</v>
      </c>
      <c r="K28" s="427" t="s">
        <v>565</v>
      </c>
      <c r="L28" s="325">
        <f>E28*M3/L5</f>
        <v>1612.9032258064515</v>
      </c>
      <c r="M28" s="342">
        <f>L28/D3</f>
        <v>14.662756598240469</v>
      </c>
    </row>
    <row r="29" spans="1:13" s="9" customFormat="1" ht="15.5">
      <c r="A29" s="428" t="s">
        <v>443</v>
      </c>
      <c r="B29" s="429"/>
      <c r="C29" s="430"/>
      <c r="D29" s="431"/>
      <c r="E29" s="432">
        <f>SUM(E21+E22+E23+E25+E26+E27+E28)</f>
        <v>689000</v>
      </c>
      <c r="F29" s="432"/>
      <c r="G29" s="432"/>
      <c r="H29" s="432">
        <f>SUM(H21+H22+H23+H25+H26+H27+H28)</f>
        <v>6263.636363636364</v>
      </c>
      <c r="I29" s="188"/>
      <c r="J29" s="188"/>
      <c r="K29" s="265"/>
      <c r="L29" s="432">
        <f>SUM(L21+L22+L23+L25+L26+L27+L28)</f>
        <v>76471.638309106551</v>
      </c>
      <c r="M29" s="432">
        <f>SUM(M21+M22+M23+M25+M26+M27+M28)</f>
        <v>695.19671190096858</v>
      </c>
    </row>
    <row r="30" spans="1:13" s="9" customFormat="1" ht="17" customHeight="1">
      <c r="A30" s="160" t="s">
        <v>444</v>
      </c>
      <c r="B30" s="160"/>
      <c r="C30" s="746" t="s">
        <v>131</v>
      </c>
      <c r="D30" s="747"/>
      <c r="E30" s="160"/>
      <c r="F30" s="160"/>
      <c r="G30" s="160"/>
      <c r="H30" s="160"/>
      <c r="I30" s="160"/>
      <c r="J30" s="433"/>
      <c r="K30" s="199"/>
      <c r="L30" s="52"/>
      <c r="M30" s="52"/>
    </row>
    <row r="31" spans="1:13" s="9" customFormat="1" ht="15.5">
      <c r="A31" s="174" t="s">
        <v>10</v>
      </c>
      <c r="B31" s="453"/>
      <c r="C31" s="453"/>
      <c r="D31" s="453"/>
      <c r="E31" s="453"/>
      <c r="F31" s="453"/>
      <c r="G31" s="453"/>
      <c r="H31" s="453"/>
      <c r="I31" s="453"/>
      <c r="J31" s="382"/>
      <c r="K31" s="382"/>
      <c r="L31" s="52"/>
      <c r="M31" s="52"/>
    </row>
    <row r="32" spans="1:13" s="9" customFormat="1" ht="15.5">
      <c r="A32" s="160" t="s">
        <v>82</v>
      </c>
      <c r="B32" s="162"/>
      <c r="C32" s="162" t="s">
        <v>233</v>
      </c>
      <c r="D32" s="162" t="s">
        <v>32</v>
      </c>
      <c r="E32" s="162"/>
      <c r="F32" s="162"/>
      <c r="G32" s="162"/>
      <c r="H32" s="162"/>
      <c r="I32" s="162"/>
      <c r="J32" s="199"/>
      <c r="K32" s="199"/>
      <c r="L32" s="52"/>
      <c r="M32" s="52"/>
    </row>
    <row r="33" spans="1:13" s="9" customFormat="1" ht="15.5">
      <c r="A33" s="427" t="s">
        <v>327</v>
      </c>
      <c r="B33" s="427"/>
      <c r="C33" s="434">
        <f>50000*30%</f>
        <v>15000</v>
      </c>
      <c r="D33" s="434">
        <f>C33/D3</f>
        <v>136.36363636363637</v>
      </c>
      <c r="E33" s="434"/>
      <c r="F33" s="434"/>
      <c r="G33" s="434"/>
      <c r="H33" s="434"/>
      <c r="I33" s="434"/>
      <c r="J33" s="435"/>
      <c r="K33" s="427" t="s">
        <v>446</v>
      </c>
      <c r="L33" s="52"/>
      <c r="M33" s="52"/>
    </row>
    <row r="34" spans="1:13" s="9" customFormat="1" ht="15.5">
      <c r="A34" s="158" t="s">
        <v>83</v>
      </c>
      <c r="B34" s="158"/>
      <c r="C34" s="183">
        <f>35000*30%</f>
        <v>10500</v>
      </c>
      <c r="D34" s="183">
        <f>C34/D3</f>
        <v>95.454545454545453</v>
      </c>
      <c r="E34" s="183"/>
      <c r="F34" s="183"/>
      <c r="G34" s="183"/>
      <c r="H34" s="183"/>
      <c r="I34" s="183"/>
      <c r="J34" s="223"/>
      <c r="K34" s="158"/>
      <c r="L34" s="52"/>
      <c r="M34" s="52"/>
    </row>
    <row r="35" spans="1:13" s="9" customFormat="1" ht="15.5">
      <c r="A35" s="297" t="s">
        <v>181</v>
      </c>
      <c r="B35" s="158"/>
      <c r="C35" s="183">
        <f>4750+30</f>
        <v>4780</v>
      </c>
      <c r="D35" s="183">
        <f>C35/D3</f>
        <v>43.454545454545453</v>
      </c>
      <c r="E35" s="183"/>
      <c r="F35" s="183"/>
      <c r="G35" s="183"/>
      <c r="H35" s="183"/>
      <c r="I35" s="183"/>
      <c r="J35" s="223"/>
      <c r="K35" s="158"/>
      <c r="L35" s="52"/>
      <c r="M35" s="52"/>
    </row>
    <row r="36" spans="1:13" s="9" customFormat="1" ht="15.5">
      <c r="A36" s="423" t="s">
        <v>328</v>
      </c>
      <c r="B36" s="427"/>
      <c r="C36" s="434">
        <v>24000</v>
      </c>
      <c r="D36" s="434">
        <f>C36/D3</f>
        <v>218.18181818181819</v>
      </c>
      <c r="E36" s="434"/>
      <c r="F36" s="434"/>
      <c r="G36" s="434"/>
      <c r="H36" s="434"/>
      <c r="I36" s="434"/>
      <c r="J36" s="435"/>
      <c r="K36" s="427" t="s">
        <v>446</v>
      </c>
      <c r="L36" s="52"/>
      <c r="M36" s="52"/>
    </row>
    <row r="37" spans="1:13" s="9" customFormat="1" ht="15.5">
      <c r="A37" s="423" t="s">
        <v>329</v>
      </c>
      <c r="B37" s="427"/>
      <c r="C37" s="434">
        <v>5000</v>
      </c>
      <c r="D37" s="434">
        <f>C37/D3</f>
        <v>45.454545454545453</v>
      </c>
      <c r="E37" s="434"/>
      <c r="F37" s="434"/>
      <c r="G37" s="434"/>
      <c r="H37" s="434"/>
      <c r="I37" s="434"/>
      <c r="J37" s="435"/>
      <c r="K37" s="427" t="s">
        <v>446</v>
      </c>
      <c r="L37" s="52"/>
      <c r="M37" s="52"/>
    </row>
    <row r="38" spans="1:13" s="9" customFormat="1" ht="15.5">
      <c r="A38" s="297" t="s">
        <v>84</v>
      </c>
      <c r="B38" s="158"/>
      <c r="C38" s="183">
        <f>(410431/48)*30%</f>
        <v>2565.1937499999999</v>
      </c>
      <c r="D38" s="183">
        <f>C38/D3</f>
        <v>23.319943181818182</v>
      </c>
      <c r="E38" s="183"/>
      <c r="F38" s="183"/>
      <c r="G38" s="183"/>
      <c r="H38" s="183"/>
      <c r="I38" s="183"/>
      <c r="J38" s="223"/>
      <c r="K38" s="158"/>
      <c r="L38" s="52"/>
      <c r="M38" s="52"/>
    </row>
    <row r="39" spans="1:13" s="9" customFormat="1" ht="15.5">
      <c r="A39" s="297" t="s">
        <v>85</v>
      </c>
      <c r="B39" s="158"/>
      <c r="C39" s="183">
        <f>20820/19</f>
        <v>1095.7894736842106</v>
      </c>
      <c r="D39" s="183">
        <f>C39/D3</f>
        <v>9.9617224880382782</v>
      </c>
      <c r="E39" s="183"/>
      <c r="F39" s="183"/>
      <c r="G39" s="183"/>
      <c r="H39" s="183"/>
      <c r="I39" s="183"/>
      <c r="J39" s="223"/>
      <c r="K39" s="158"/>
      <c r="L39" s="52"/>
      <c r="M39" s="52"/>
    </row>
    <row r="40" spans="1:13" s="9" customFormat="1" ht="18.5" customHeight="1">
      <c r="A40" s="423" t="s">
        <v>331</v>
      </c>
      <c r="B40" s="427"/>
      <c r="C40" s="434">
        <f>45600/19</f>
        <v>2400</v>
      </c>
      <c r="D40" s="434">
        <f>C40/D3</f>
        <v>21.818181818181817</v>
      </c>
      <c r="E40" s="434"/>
      <c r="F40" s="434"/>
      <c r="G40" s="434"/>
      <c r="H40" s="434"/>
      <c r="I40" s="434"/>
      <c r="J40" s="435"/>
      <c r="K40" s="427" t="s">
        <v>446</v>
      </c>
      <c r="L40" s="52"/>
      <c r="M40" s="52"/>
    </row>
    <row r="41" spans="1:13" s="9" customFormat="1" ht="15.5">
      <c r="A41" s="423" t="s">
        <v>86</v>
      </c>
      <c r="B41" s="427"/>
      <c r="C41" s="434">
        <f>(272805/48)*30%</f>
        <v>1705.03125</v>
      </c>
      <c r="D41" s="434">
        <f>C41/D3</f>
        <v>15.500284090909091</v>
      </c>
      <c r="E41" s="434"/>
      <c r="F41" s="434"/>
      <c r="G41" s="434"/>
      <c r="H41" s="434"/>
      <c r="I41" s="434"/>
      <c r="J41" s="435"/>
      <c r="K41" s="427" t="s">
        <v>446</v>
      </c>
      <c r="L41" s="52"/>
      <c r="M41" s="52"/>
    </row>
    <row r="42" spans="1:13" s="9" customFormat="1" ht="20" customHeight="1">
      <c r="A42" s="423" t="s">
        <v>330</v>
      </c>
      <c r="B42" s="427"/>
      <c r="C42" s="434">
        <f>(12500*1.7)*30%</f>
        <v>6375</v>
      </c>
      <c r="D42" s="434">
        <f>C42/D3</f>
        <v>57.954545454545453</v>
      </c>
      <c r="E42" s="434"/>
      <c r="F42" s="434"/>
      <c r="G42" s="434"/>
      <c r="H42" s="434"/>
      <c r="I42" s="434"/>
      <c r="J42" s="435"/>
      <c r="K42" s="427" t="s">
        <v>446</v>
      </c>
      <c r="L42" s="52"/>
      <c r="M42" s="52"/>
    </row>
    <row r="43" spans="1:13" s="9" customFormat="1" ht="15.5">
      <c r="A43" s="436" t="s">
        <v>75</v>
      </c>
      <c r="B43" s="436"/>
      <c r="C43" s="390">
        <f>SUM(C34+C35+C38+C39)</f>
        <v>18940.983223684208</v>
      </c>
      <c r="D43" s="390">
        <f>SUM(D34+D35+D38+D39)</f>
        <v>172.19075657894737</v>
      </c>
      <c r="E43" s="390"/>
      <c r="F43" s="390"/>
      <c r="G43" s="390"/>
      <c r="H43" s="390"/>
      <c r="I43" s="390"/>
      <c r="J43" s="390"/>
      <c r="K43" s="265"/>
      <c r="L43" s="52"/>
      <c r="M43" s="52"/>
    </row>
    <row r="44" spans="1:13" s="9" customFormat="1" ht="15.5">
      <c r="A44" s="433" t="s">
        <v>87</v>
      </c>
      <c r="B44" s="433"/>
      <c r="C44" s="437"/>
      <c r="D44" s="201"/>
      <c r="E44" s="437"/>
      <c r="F44" s="437"/>
      <c r="G44" s="437"/>
      <c r="H44" s="437"/>
      <c r="I44" s="437"/>
      <c r="J44" s="438"/>
      <c r="K44" s="199"/>
      <c r="L44" s="52"/>
      <c r="M44" s="52"/>
    </row>
    <row r="45" spans="1:13" s="9" customFormat="1" ht="15.5">
      <c r="A45" s="297" t="s">
        <v>88</v>
      </c>
      <c r="B45" s="158"/>
      <c r="C45" s="183">
        <v>2000</v>
      </c>
      <c r="D45" s="183">
        <f>C45/D3</f>
        <v>18.181818181818183</v>
      </c>
      <c r="E45" s="183"/>
      <c r="F45" s="183"/>
      <c r="G45" s="183"/>
      <c r="H45" s="183"/>
      <c r="I45" s="183"/>
      <c r="J45" s="223"/>
      <c r="K45" s="158"/>
      <c r="L45" s="52"/>
      <c r="M45" s="52"/>
    </row>
    <row r="46" spans="1:13" s="9" customFormat="1" ht="15.5">
      <c r="A46" s="297" t="s">
        <v>89</v>
      </c>
      <c r="B46" s="158"/>
      <c r="C46" s="183">
        <v>2000</v>
      </c>
      <c r="D46" s="183">
        <f>C46/D3</f>
        <v>18.181818181818183</v>
      </c>
      <c r="E46" s="183"/>
      <c r="F46" s="183"/>
      <c r="G46" s="183"/>
      <c r="H46" s="183"/>
      <c r="I46" s="183"/>
      <c r="J46" s="223"/>
      <c r="K46" s="158"/>
      <c r="L46" s="52"/>
      <c r="M46" s="52"/>
    </row>
    <row r="47" spans="1:13" s="9" customFormat="1" ht="15.5">
      <c r="A47" s="436" t="s">
        <v>75</v>
      </c>
      <c r="B47" s="436"/>
      <c r="C47" s="390">
        <f>SUM(C45:C46)</f>
        <v>4000</v>
      </c>
      <c r="D47" s="390">
        <f>SUM(D45:D46)</f>
        <v>36.363636363636367</v>
      </c>
      <c r="E47" s="390"/>
      <c r="F47" s="390"/>
      <c r="G47" s="390"/>
      <c r="H47" s="390"/>
      <c r="I47" s="390"/>
      <c r="J47" s="390"/>
      <c r="K47" s="265"/>
      <c r="L47" s="52"/>
      <c r="M47" s="52"/>
    </row>
    <row r="48" spans="1:13" s="9" customFormat="1" ht="15.5">
      <c r="A48" s="433" t="s">
        <v>90</v>
      </c>
      <c r="B48" s="433"/>
      <c r="C48" s="437"/>
      <c r="D48" s="437"/>
      <c r="E48" s="437"/>
      <c r="F48" s="437"/>
      <c r="G48" s="437"/>
      <c r="H48" s="437"/>
      <c r="I48" s="201"/>
      <c r="J48" s="438"/>
      <c r="K48" s="199"/>
      <c r="L48" s="52"/>
      <c r="M48" s="52"/>
    </row>
    <row r="49" spans="1:13" s="9" customFormat="1" ht="15.5">
      <c r="A49" s="297" t="s">
        <v>183</v>
      </c>
      <c r="B49" s="158"/>
      <c r="C49" s="183">
        <f>52600/19</f>
        <v>2768.4210526315787</v>
      </c>
      <c r="D49" s="183">
        <f>C49/D3</f>
        <v>25.167464114832534</v>
      </c>
      <c r="E49" s="183"/>
      <c r="F49" s="183"/>
      <c r="G49" s="183"/>
      <c r="H49" s="183"/>
      <c r="I49" s="183"/>
      <c r="J49" s="223"/>
      <c r="K49" s="158"/>
      <c r="L49" s="52"/>
      <c r="M49" s="52"/>
    </row>
    <row r="50" spans="1:13" s="9" customFormat="1" ht="15.5">
      <c r="A50" s="297" t="s">
        <v>182</v>
      </c>
      <c r="B50" s="158"/>
      <c r="C50" s="183">
        <f>17490/19</f>
        <v>920.52631578947364</v>
      </c>
      <c r="D50" s="183">
        <f>C50/D3</f>
        <v>8.3684210526315788</v>
      </c>
      <c r="E50" s="183"/>
      <c r="F50" s="183"/>
      <c r="G50" s="183"/>
      <c r="H50" s="183"/>
      <c r="I50" s="183"/>
      <c r="J50" s="223"/>
      <c r="K50" s="158"/>
      <c r="L50" s="52"/>
      <c r="M50" s="52"/>
    </row>
    <row r="51" spans="1:13" s="9" customFormat="1" ht="15.5">
      <c r="A51" s="297" t="s">
        <v>91</v>
      </c>
      <c r="B51" s="158"/>
      <c r="C51" s="183">
        <f>50010/19</f>
        <v>2632.1052631578946</v>
      </c>
      <c r="D51" s="183">
        <f>C51/D3</f>
        <v>23.928229665071768</v>
      </c>
      <c r="E51" s="183"/>
      <c r="F51" s="183"/>
      <c r="G51" s="183"/>
      <c r="H51" s="183"/>
      <c r="I51" s="183"/>
      <c r="J51" s="223"/>
      <c r="K51" s="158"/>
      <c r="L51" s="52"/>
      <c r="M51" s="52"/>
    </row>
    <row r="52" spans="1:13" s="9" customFormat="1" ht="15.5">
      <c r="A52" s="297" t="s">
        <v>247</v>
      </c>
      <c r="B52" s="158"/>
      <c r="C52" s="183">
        <f>(3040+8500+1170)/19</f>
        <v>668.9473684210526</v>
      </c>
      <c r="D52" s="183">
        <f>C52/D3</f>
        <v>6.0813397129186599</v>
      </c>
      <c r="E52" s="183"/>
      <c r="F52" s="183"/>
      <c r="G52" s="183"/>
      <c r="H52" s="183"/>
      <c r="I52" s="183"/>
      <c r="J52" s="223"/>
      <c r="K52" s="158"/>
      <c r="L52" s="52"/>
      <c r="M52" s="52"/>
    </row>
    <row r="53" spans="1:13" s="9" customFormat="1" ht="15.5">
      <c r="A53" s="436" t="s">
        <v>75</v>
      </c>
      <c r="B53" s="436"/>
      <c r="C53" s="390">
        <f>SUM(C49:C52)</f>
        <v>6989.9999999999991</v>
      </c>
      <c r="D53" s="390">
        <f>SUM(D49:D52)</f>
        <v>63.545454545454547</v>
      </c>
      <c r="E53" s="390"/>
      <c r="F53" s="390"/>
      <c r="G53" s="390"/>
      <c r="H53" s="390"/>
      <c r="I53" s="390"/>
      <c r="J53" s="390"/>
      <c r="K53" s="265"/>
      <c r="L53" s="52"/>
      <c r="M53" s="52"/>
    </row>
    <row r="54" spans="1:13" s="9" customFormat="1" ht="15.5">
      <c r="A54" s="174" t="s">
        <v>19</v>
      </c>
      <c r="B54" s="453"/>
      <c r="C54" s="454"/>
      <c r="D54" s="454"/>
      <c r="E54" s="454"/>
      <c r="F54" s="454"/>
      <c r="G54" s="454"/>
      <c r="H54" s="454"/>
      <c r="I54" s="454"/>
      <c r="J54" s="454"/>
      <c r="K54" s="382"/>
      <c r="L54" s="52"/>
      <c r="M54" s="52"/>
    </row>
    <row r="55" spans="1:13" s="9" customFormat="1" ht="15.5">
      <c r="A55" s="160" t="s">
        <v>82</v>
      </c>
      <c r="B55" s="162"/>
      <c r="C55" s="439"/>
      <c r="D55" s="439"/>
      <c r="E55" s="439"/>
      <c r="F55" s="439"/>
      <c r="G55" s="439"/>
      <c r="H55" s="439"/>
      <c r="I55" s="439"/>
      <c r="J55" s="440"/>
      <c r="K55" s="199"/>
      <c r="L55" s="52"/>
      <c r="M55" s="52"/>
    </row>
    <row r="56" spans="1:13" s="9" customFormat="1" ht="15.5">
      <c r="A56" s="158" t="s">
        <v>92</v>
      </c>
      <c r="B56" s="158"/>
      <c r="C56" s="183">
        <f>40000*30%</f>
        <v>12000</v>
      </c>
      <c r="D56" s="183">
        <f>C56/D3</f>
        <v>109.09090909090909</v>
      </c>
      <c r="E56" s="183"/>
      <c r="F56" s="183"/>
      <c r="G56" s="183"/>
      <c r="H56" s="183"/>
      <c r="I56" s="183"/>
      <c r="J56" s="223"/>
      <c r="K56" s="158"/>
      <c r="L56" s="52"/>
      <c r="M56" s="52"/>
    </row>
    <row r="57" spans="1:13" s="9" customFormat="1" ht="15.5">
      <c r="A57" s="158" t="s">
        <v>84</v>
      </c>
      <c r="B57" s="158"/>
      <c r="C57" s="183">
        <f>SUM(177060/33)*30%</f>
        <v>1609.6363636363635</v>
      </c>
      <c r="D57" s="183">
        <f>C57/D3</f>
        <v>14.633057851239668</v>
      </c>
      <c r="E57" s="183"/>
      <c r="F57" s="183"/>
      <c r="G57" s="183"/>
      <c r="H57" s="183"/>
      <c r="I57" s="183"/>
      <c r="J57" s="223"/>
      <c r="K57" s="158"/>
      <c r="L57" s="52"/>
      <c r="M57" s="52"/>
    </row>
    <row r="58" spans="1:13" s="9" customFormat="1" ht="15.5">
      <c r="A58" s="423" t="s">
        <v>332</v>
      </c>
      <c r="B58" s="427"/>
      <c r="C58" s="434">
        <f>66000/19</f>
        <v>3473.6842105263158</v>
      </c>
      <c r="D58" s="434">
        <f>C58/D3</f>
        <v>31.578947368421051</v>
      </c>
      <c r="E58" s="434"/>
      <c r="F58" s="434"/>
      <c r="G58" s="434"/>
      <c r="H58" s="434"/>
      <c r="I58" s="434"/>
      <c r="J58" s="435"/>
      <c r="K58" s="427" t="s">
        <v>446</v>
      </c>
      <c r="L58" s="52"/>
      <c r="M58" s="52"/>
    </row>
    <row r="59" spans="1:13" s="9" customFormat="1" ht="15.5">
      <c r="A59" s="423" t="s">
        <v>333</v>
      </c>
      <c r="B59" s="427"/>
      <c r="C59" s="434">
        <f>(348075/33)*30%</f>
        <v>3164.3181818181815</v>
      </c>
      <c r="D59" s="434">
        <f>C59/D3</f>
        <v>28.766528925619831</v>
      </c>
      <c r="E59" s="434"/>
      <c r="F59" s="434"/>
      <c r="G59" s="434"/>
      <c r="H59" s="434"/>
      <c r="I59" s="434"/>
      <c r="J59" s="435"/>
      <c r="K59" s="427" t="s">
        <v>446</v>
      </c>
      <c r="L59" s="52"/>
      <c r="M59" s="52"/>
    </row>
    <row r="60" spans="1:13" s="9" customFormat="1" ht="15.5">
      <c r="A60" s="423" t="s">
        <v>330</v>
      </c>
      <c r="B60" s="427"/>
      <c r="C60" s="434">
        <f>SUM(12500*1.7)*30%</f>
        <v>6375</v>
      </c>
      <c r="D60" s="434">
        <f>C60/D3</f>
        <v>57.954545454545453</v>
      </c>
      <c r="E60" s="434"/>
      <c r="F60" s="434"/>
      <c r="G60" s="434"/>
      <c r="H60" s="434"/>
      <c r="I60" s="434"/>
      <c r="J60" s="435"/>
      <c r="K60" s="427" t="s">
        <v>446</v>
      </c>
      <c r="L60" s="52"/>
      <c r="M60" s="52"/>
    </row>
    <row r="61" spans="1:13" s="9" customFormat="1" ht="15.5">
      <c r="A61" s="436" t="s">
        <v>75</v>
      </c>
      <c r="B61" s="436"/>
      <c r="C61" s="390">
        <f>SUM(C56:C57)</f>
        <v>13609.636363636364</v>
      </c>
      <c r="D61" s="390">
        <f>SUM(D56:D57)</f>
        <v>123.72396694214876</v>
      </c>
      <c r="E61" s="390"/>
      <c r="F61" s="390"/>
      <c r="G61" s="390"/>
      <c r="H61" s="390"/>
      <c r="I61" s="390"/>
      <c r="J61" s="390"/>
      <c r="K61" s="265"/>
      <c r="L61" s="52"/>
      <c r="M61" s="52"/>
    </row>
    <row r="62" spans="1:13" s="9" customFormat="1" ht="15.5">
      <c r="A62" s="433" t="s">
        <v>87</v>
      </c>
      <c r="B62" s="433"/>
      <c r="C62" s="437"/>
      <c r="D62" s="437"/>
      <c r="E62" s="437"/>
      <c r="F62" s="437"/>
      <c r="G62" s="437"/>
      <c r="H62" s="437"/>
      <c r="I62" s="201"/>
      <c r="J62" s="437"/>
      <c r="K62" s="199"/>
      <c r="L62" s="52"/>
      <c r="M62" s="52"/>
    </row>
    <row r="63" spans="1:13" s="9" customFormat="1" ht="15.5">
      <c r="A63" s="297" t="s">
        <v>93</v>
      </c>
      <c r="B63" s="158"/>
      <c r="C63" s="183">
        <f>15000*30%</f>
        <v>4500</v>
      </c>
      <c r="D63" s="183">
        <f>C63/D3</f>
        <v>40.909090909090907</v>
      </c>
      <c r="E63" s="183"/>
      <c r="F63" s="183"/>
      <c r="G63" s="183"/>
      <c r="H63" s="183"/>
      <c r="I63" s="183"/>
      <c r="J63" s="223"/>
      <c r="K63" s="158"/>
      <c r="L63" s="52"/>
      <c r="M63" s="52"/>
    </row>
    <row r="64" spans="1:13" s="9" customFormat="1" ht="15.5">
      <c r="A64" s="297" t="s">
        <v>89</v>
      </c>
      <c r="B64" s="158"/>
      <c r="C64" s="183">
        <f>10000*30%</f>
        <v>3000</v>
      </c>
      <c r="D64" s="183">
        <f>C64/D3</f>
        <v>27.272727272727273</v>
      </c>
      <c r="E64" s="183"/>
      <c r="F64" s="183"/>
      <c r="G64" s="183"/>
      <c r="H64" s="183"/>
      <c r="I64" s="183"/>
      <c r="J64" s="223"/>
      <c r="K64" s="158"/>
      <c r="L64" s="52"/>
      <c r="M64" s="52"/>
    </row>
    <row r="65" spans="1:13" s="9" customFormat="1" ht="15.5">
      <c r="A65" s="436" t="s">
        <v>75</v>
      </c>
      <c r="B65" s="436"/>
      <c r="C65" s="390">
        <f>SUM(C63:C64)</f>
        <v>7500</v>
      </c>
      <c r="D65" s="390">
        <f>SUM(D63:D64)</f>
        <v>68.181818181818187</v>
      </c>
      <c r="E65" s="390"/>
      <c r="F65" s="390"/>
      <c r="G65" s="390"/>
      <c r="H65" s="390"/>
      <c r="I65" s="390"/>
      <c r="J65" s="390"/>
      <c r="K65" s="265"/>
      <c r="L65" s="52"/>
      <c r="M65" s="52"/>
    </row>
    <row r="66" spans="1:13" s="9" customFormat="1" ht="15.5">
      <c r="A66" s="433" t="s">
        <v>90</v>
      </c>
      <c r="B66" s="433"/>
      <c r="C66" s="437"/>
      <c r="D66" s="437"/>
      <c r="E66" s="437"/>
      <c r="F66" s="437"/>
      <c r="G66" s="437"/>
      <c r="H66" s="437"/>
      <c r="I66" s="201"/>
      <c r="J66" s="437"/>
      <c r="K66" s="199"/>
      <c r="L66" s="52"/>
      <c r="M66" s="52"/>
    </row>
    <row r="67" spans="1:13" s="9" customFormat="1" ht="15.5">
      <c r="A67" s="297" t="s">
        <v>94</v>
      </c>
      <c r="B67" s="158"/>
      <c r="C67" s="183">
        <f>(641000)*30%/19</f>
        <v>10121.052631578947</v>
      </c>
      <c r="D67" s="183">
        <f>C67/D3</f>
        <v>92.009569377990417</v>
      </c>
      <c r="E67" s="183"/>
      <c r="F67" s="183"/>
      <c r="G67" s="183"/>
      <c r="H67" s="183"/>
      <c r="I67" s="183"/>
      <c r="J67" s="223"/>
      <c r="K67" s="158"/>
      <c r="L67" s="52"/>
      <c r="M67" s="52"/>
    </row>
    <row r="68" spans="1:13" s="9" customFormat="1" ht="15.5">
      <c r="A68" s="297" t="s">
        <v>95</v>
      </c>
      <c r="B68" s="158"/>
      <c r="C68" s="183">
        <f>(334010/33)*30%</f>
        <v>3036.4545454545455</v>
      </c>
      <c r="D68" s="183">
        <f>C68/D3</f>
        <v>27.604132231404957</v>
      </c>
      <c r="E68" s="183"/>
      <c r="F68" s="183"/>
      <c r="G68" s="183"/>
      <c r="H68" s="183"/>
      <c r="I68" s="183"/>
      <c r="J68" s="223"/>
      <c r="K68" s="158"/>
      <c r="L68" s="52"/>
      <c r="M68" s="52"/>
    </row>
    <row r="69" spans="1:13" s="9" customFormat="1" ht="15.5">
      <c r="A69" s="297" t="s">
        <v>96</v>
      </c>
      <c r="B69" s="158"/>
      <c r="C69" s="183">
        <f>(86530/31)*30%</f>
        <v>837.38709677419354</v>
      </c>
      <c r="D69" s="183">
        <f>C69/D3</f>
        <v>7.6126099706744865</v>
      </c>
      <c r="E69" s="183"/>
      <c r="F69" s="183"/>
      <c r="G69" s="183"/>
      <c r="H69" s="183"/>
      <c r="I69" s="183"/>
      <c r="J69" s="223"/>
      <c r="K69" s="158"/>
      <c r="L69" s="52"/>
      <c r="M69" s="52"/>
    </row>
    <row r="70" spans="1:13" s="9" customFormat="1" ht="15.5">
      <c r="A70" s="436" t="s">
        <v>75</v>
      </c>
      <c r="B70" s="436"/>
      <c r="C70" s="390">
        <f>SUM(C67:C69)</f>
        <v>13994.894273807686</v>
      </c>
      <c r="D70" s="390">
        <f>SUM(D67:D69)</f>
        <v>127.22631158006986</v>
      </c>
      <c r="E70" s="390"/>
      <c r="F70" s="390"/>
      <c r="G70" s="390"/>
      <c r="H70" s="390"/>
      <c r="I70" s="390"/>
      <c r="J70" s="390"/>
      <c r="K70" s="265"/>
      <c r="L70" s="52"/>
      <c r="M70" s="52"/>
    </row>
    <row r="71" spans="1:13" s="9" customFormat="1" ht="15.5">
      <c r="A71" s="433"/>
      <c r="B71" s="764" t="s">
        <v>563</v>
      </c>
      <c r="C71" s="765"/>
      <c r="D71" s="766"/>
      <c r="E71" s="441"/>
      <c r="F71" s="441"/>
      <c r="G71" s="441"/>
      <c r="H71" s="441"/>
      <c r="I71" s="195" t="s">
        <v>389</v>
      </c>
      <c r="J71" s="442"/>
      <c r="K71" s="199"/>
      <c r="L71" s="52"/>
      <c r="M71" s="52"/>
    </row>
    <row r="72" spans="1:13" s="9" customFormat="1" ht="15.5">
      <c r="A72" s="450"/>
      <c r="B72" s="406" t="s">
        <v>10</v>
      </c>
      <c r="C72" s="451"/>
      <c r="D72" s="452" t="s">
        <v>19</v>
      </c>
      <c r="E72" s="452"/>
      <c r="F72" s="767" t="s">
        <v>20</v>
      </c>
      <c r="G72" s="768"/>
      <c r="H72" s="452" t="s">
        <v>10</v>
      </c>
      <c r="I72" s="406"/>
      <c r="J72" s="406" t="s">
        <v>19</v>
      </c>
      <c r="K72" s="406"/>
      <c r="L72" s="769" t="s">
        <v>20</v>
      </c>
      <c r="M72" s="770"/>
    </row>
    <row r="73" spans="1:13" s="9" customFormat="1" ht="15.5">
      <c r="A73" s="433" t="s">
        <v>386</v>
      </c>
      <c r="B73" s="433" t="s">
        <v>233</v>
      </c>
      <c r="C73" s="443" t="s">
        <v>32</v>
      </c>
      <c r="D73" s="444" t="s">
        <v>233</v>
      </c>
      <c r="E73" s="444" t="s">
        <v>32</v>
      </c>
      <c r="F73" s="444" t="s">
        <v>233</v>
      </c>
      <c r="G73" s="444" t="s">
        <v>32</v>
      </c>
      <c r="H73" s="444" t="s">
        <v>233</v>
      </c>
      <c r="I73" s="433" t="s">
        <v>388</v>
      </c>
      <c r="J73" s="433" t="s">
        <v>233</v>
      </c>
      <c r="K73" s="433" t="s">
        <v>32</v>
      </c>
      <c r="L73" s="321" t="s">
        <v>233</v>
      </c>
      <c r="M73" s="321" t="s">
        <v>32</v>
      </c>
    </row>
    <row r="74" spans="1:13" s="9" customFormat="1" ht="15.5">
      <c r="A74" s="301" t="s">
        <v>133</v>
      </c>
      <c r="B74" s="250">
        <f>L18</f>
        <v>69888.835938183838</v>
      </c>
      <c r="C74" s="344">
        <f>B74/D3</f>
        <v>635.35305398348942</v>
      </c>
      <c r="D74" s="344">
        <f>L29</f>
        <v>76471.638309106551</v>
      </c>
      <c r="E74" s="344">
        <f>D74/D3</f>
        <v>695.19671190096869</v>
      </c>
      <c r="F74" s="344">
        <f>SUM(B74+D74)</f>
        <v>146360.4742472904</v>
      </c>
      <c r="G74" s="344">
        <f>SUM(C74+E74)</f>
        <v>1330.5497658844581</v>
      </c>
      <c r="H74" s="344">
        <f>B74/I2</f>
        <v>1270.7061079669788</v>
      </c>
      <c r="I74" s="344">
        <f>H74/D3</f>
        <v>11.551873708790717</v>
      </c>
      <c r="J74" s="445">
        <f>D74/I3</f>
        <v>1124.5829163103904</v>
      </c>
      <c r="K74" s="344">
        <f>J74/D3</f>
        <v>10.223481057367184</v>
      </c>
      <c r="L74" s="344">
        <f>SUM(H74+J74)</f>
        <v>2395.2890242773692</v>
      </c>
      <c r="M74" s="344">
        <f>SUM(I74+K74)</f>
        <v>21.775354766157903</v>
      </c>
    </row>
    <row r="75" spans="1:13" s="9" customFormat="1" ht="15.5">
      <c r="A75" s="301" t="s">
        <v>447</v>
      </c>
      <c r="B75" s="250">
        <f>C43</f>
        <v>18940.983223684208</v>
      </c>
      <c r="C75" s="344">
        <f>B75/D3</f>
        <v>172.19075657894734</v>
      </c>
      <c r="D75" s="344">
        <f>C61</f>
        <v>13609.636363636364</v>
      </c>
      <c r="E75" s="344">
        <f>D75/D3</f>
        <v>123.72396694214876</v>
      </c>
      <c r="F75" s="344">
        <f t="shared" ref="F75:F77" si="2">SUM(B75+D75)</f>
        <v>32550.619587320572</v>
      </c>
      <c r="G75" s="344">
        <f t="shared" ref="G75:G77" si="3">SUM(C75+E75)</f>
        <v>295.91472352109611</v>
      </c>
      <c r="H75" s="344">
        <f>B75/I2</f>
        <v>344.38151315789469</v>
      </c>
      <c r="I75" s="344">
        <f>H75/D3</f>
        <v>3.1307410287081336</v>
      </c>
      <c r="J75" s="445">
        <f>D75/I3</f>
        <v>200.14171122994654</v>
      </c>
      <c r="K75" s="344">
        <f>J75/D3</f>
        <v>1.8194701020904231</v>
      </c>
      <c r="L75" s="344">
        <f t="shared" ref="L75:L77" si="4">SUM(H75+J75)</f>
        <v>544.5232243878412</v>
      </c>
      <c r="M75" s="344">
        <f t="shared" ref="M75:M77" si="5">SUM(I75+K75)</f>
        <v>4.9502111307985572</v>
      </c>
    </row>
    <row r="76" spans="1:13" s="9" customFormat="1" ht="15.5">
      <c r="A76" s="301" t="s">
        <v>135</v>
      </c>
      <c r="B76" s="250">
        <f>C47</f>
        <v>4000</v>
      </c>
      <c r="C76" s="344">
        <f>B76/D3</f>
        <v>36.363636363636367</v>
      </c>
      <c r="D76" s="344">
        <f>C65</f>
        <v>7500</v>
      </c>
      <c r="E76" s="344">
        <f>D76/D3</f>
        <v>68.181818181818187</v>
      </c>
      <c r="F76" s="344">
        <f t="shared" si="2"/>
        <v>11500</v>
      </c>
      <c r="G76" s="344">
        <f t="shared" si="3"/>
        <v>104.54545454545456</v>
      </c>
      <c r="H76" s="344">
        <f>B76/I2</f>
        <v>72.727272727272734</v>
      </c>
      <c r="I76" s="344">
        <f>H76/D3</f>
        <v>0.66115702479338845</v>
      </c>
      <c r="J76" s="445">
        <f>D76/I3</f>
        <v>110.29411764705883</v>
      </c>
      <c r="K76" s="344">
        <f>J76/D3</f>
        <v>1.0026737967914439</v>
      </c>
      <c r="L76" s="344">
        <f t="shared" si="4"/>
        <v>183.02139037433156</v>
      </c>
      <c r="M76" s="344">
        <f t="shared" si="5"/>
        <v>1.6638308215848323</v>
      </c>
    </row>
    <row r="77" spans="1:13" s="9" customFormat="1" ht="15.5">
      <c r="A77" s="301" t="s">
        <v>448</v>
      </c>
      <c r="B77" s="250">
        <f>C53</f>
        <v>6989.9999999999991</v>
      </c>
      <c r="C77" s="344">
        <f>B77/D3</f>
        <v>63.54545454545454</v>
      </c>
      <c r="D77" s="344">
        <f>C70</f>
        <v>13994.894273807686</v>
      </c>
      <c r="E77" s="344">
        <f>D77/D3</f>
        <v>127.22631158006988</v>
      </c>
      <c r="F77" s="344">
        <f t="shared" si="2"/>
        <v>20984.894273807684</v>
      </c>
      <c r="G77" s="344">
        <f t="shared" si="3"/>
        <v>190.77176612552441</v>
      </c>
      <c r="H77" s="344">
        <f>B77/I2</f>
        <v>127.09090909090908</v>
      </c>
      <c r="I77" s="344">
        <f>H77/D3</f>
        <v>1.1553719008264463</v>
      </c>
      <c r="J77" s="445">
        <f>D77/I3</f>
        <v>205.80726873246596</v>
      </c>
      <c r="K77" s="344">
        <f>J77/D3</f>
        <v>1.8709751702951452</v>
      </c>
      <c r="L77" s="344">
        <f t="shared" si="4"/>
        <v>332.89817782337502</v>
      </c>
      <c r="M77" s="344">
        <f t="shared" si="5"/>
        <v>3.0263470711215916</v>
      </c>
    </row>
    <row r="78" spans="1:13" s="9" customFormat="1" ht="15.5">
      <c r="A78" s="352" t="s">
        <v>20</v>
      </c>
      <c r="B78" s="446">
        <f t="shared" ref="B78:M78" si="6">SUM(B74:B77)</f>
        <v>99819.819161868043</v>
      </c>
      <c r="C78" s="438">
        <f t="shared" si="6"/>
        <v>907.45290147152764</v>
      </c>
      <c r="D78" s="438">
        <f t="shared" si="6"/>
        <v>111576.16894655061</v>
      </c>
      <c r="E78" s="438">
        <f t="shared" si="6"/>
        <v>1014.3288086050056</v>
      </c>
      <c r="F78" s="446">
        <f t="shared" si="6"/>
        <v>211395.98810841865</v>
      </c>
      <c r="G78" s="446">
        <f t="shared" si="6"/>
        <v>1921.781710076533</v>
      </c>
      <c r="H78" s="446">
        <f t="shared" si="6"/>
        <v>1814.9058029430553</v>
      </c>
      <c r="I78" s="446">
        <f t="shared" si="6"/>
        <v>16.499143663118684</v>
      </c>
      <c r="J78" s="446">
        <f t="shared" si="6"/>
        <v>1640.8260139198617</v>
      </c>
      <c r="K78" s="446">
        <f t="shared" si="6"/>
        <v>14.916600126544196</v>
      </c>
      <c r="L78" s="446">
        <f t="shared" si="6"/>
        <v>3455.7318168629172</v>
      </c>
      <c r="M78" s="446">
        <f t="shared" si="6"/>
        <v>31.415743789662884</v>
      </c>
    </row>
    <row r="79" spans="1:13" s="9" customFormat="1" ht="14.5">
      <c r="A79" s="85"/>
      <c r="B79" s="86"/>
      <c r="C79" s="86"/>
      <c r="D79" s="86"/>
      <c r="E79" s="86"/>
      <c r="F79" s="86"/>
      <c r="G79" s="86"/>
      <c r="H79" s="86"/>
      <c r="I79" s="34"/>
      <c r="J79" s="34"/>
    </row>
    <row r="80" spans="1:13" s="9" customFormat="1" ht="13">
      <c r="A80" s="16"/>
      <c r="B80" s="16"/>
      <c r="C80" s="16"/>
      <c r="D80" s="16"/>
      <c r="E80" s="16"/>
      <c r="F80" s="16"/>
      <c r="G80" s="16"/>
      <c r="H80" s="16"/>
      <c r="I80" s="34"/>
      <c r="J80" s="41"/>
    </row>
    <row r="81" spans="1:10" s="9" customFormat="1" ht="14.5">
      <c r="A81" s="62"/>
      <c r="B81" s="17"/>
      <c r="C81" s="17"/>
      <c r="D81" s="17"/>
      <c r="E81" s="17"/>
      <c r="F81" s="17"/>
      <c r="G81" s="17"/>
      <c r="H81" s="17"/>
      <c r="I81" s="34"/>
      <c r="J81" s="41"/>
    </row>
    <row r="82" spans="1:10" s="9" customFormat="1" ht="14.5">
      <c r="A82" s="17"/>
      <c r="B82" s="17"/>
      <c r="C82" s="17"/>
      <c r="D82" s="17"/>
      <c r="E82" s="17"/>
      <c r="F82" s="17"/>
      <c r="G82" s="17"/>
      <c r="H82" s="17"/>
      <c r="I82" s="34"/>
      <c r="J82" s="41"/>
    </row>
    <row r="83" spans="1:10" s="9" customFormat="1" ht="13">
      <c r="A83" s="37"/>
      <c r="B83" s="37"/>
      <c r="C83" s="39"/>
      <c r="D83" s="40"/>
      <c r="E83" s="40"/>
      <c r="F83" s="40"/>
      <c r="G83" s="40"/>
      <c r="H83" s="40"/>
      <c r="I83" s="34"/>
      <c r="J83" s="41"/>
    </row>
    <row r="84" spans="1:10" s="9" customFormat="1" ht="24.65" customHeight="1">
      <c r="A84" s="37"/>
      <c r="B84" s="37"/>
      <c r="C84" s="38"/>
      <c r="D84" s="43"/>
      <c r="E84" s="43"/>
      <c r="F84" s="43"/>
      <c r="G84" s="43"/>
      <c r="H84" s="43"/>
      <c r="I84" s="34"/>
      <c r="J84" s="34"/>
    </row>
    <row r="85" spans="1:10" s="9" customFormat="1" ht="11.5"/>
    <row r="86" spans="1:10" s="9" customFormat="1" ht="11.5"/>
    <row r="87" spans="1:10" s="9" customFormat="1" ht="11.5"/>
  </sheetData>
  <mergeCells count="5">
    <mergeCell ref="C7:I7"/>
    <mergeCell ref="B71:D71"/>
    <mergeCell ref="C30:D30"/>
    <mergeCell ref="F72:G72"/>
    <mergeCell ref="L72:M72"/>
  </mergeCells>
  <pageMargins left="0.7" right="0.7" top="0.75" bottom="0.75" header="0.3" footer="0.3"/>
</worksheet>
</file>

<file path=docMetadata/LabelInfo.xml><?xml version="1.0" encoding="utf-8"?>
<clbl:labelList xmlns:clbl="http://schemas.microsoft.com/office/2020/mipLabelMetadata">
  <clbl:label id="{f6b6dd5b-f02f-441a-99a0-162ac5060bd2}" enabled="0" method="" siteId="{f6b6dd5b-f02f-441a-99a0-162ac5060b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List of Forms</vt:lpstr>
      <vt:lpstr>Source Information</vt:lpstr>
      <vt:lpstr>Document Checklist</vt:lpstr>
      <vt:lpstr>Activities 2020-2021</vt:lpstr>
      <vt:lpstr>Summary</vt:lpstr>
      <vt:lpstr>Microplanning</vt:lpstr>
      <vt:lpstr>In-Person Initial Training</vt:lpstr>
      <vt:lpstr>Online Refresher Training </vt:lpstr>
      <vt:lpstr>Equip, Trans,OVHD</vt:lpstr>
      <vt:lpstr>T and M Personnel</vt:lpstr>
      <vt:lpstr>Personnel</vt:lpstr>
      <vt:lpstr>Lab_Stationery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2025-08-22T08:55:10Z</dcterms:modified>
</cp:coreProperties>
</file>