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15150" windowHeight="9330" activeTab="4"/>
  </bookViews>
  <sheets>
    <sheet name="Jul-Sep 2012" sheetId="16" r:id="rId1"/>
    <sheet name="Oct-Dec 2012" sheetId="12" r:id="rId2"/>
    <sheet name="Jan-Mar 2013" sheetId="20" r:id="rId3"/>
    <sheet name="Apr-Jun 2013" sheetId="22" r:id="rId4"/>
    <sheet name="Annual 2013" sheetId="18" r:id="rId5"/>
  </sheets>
  <definedNames>
    <definedName name="_xlnm.Print_Area" localSheetId="4">'Annual 2013'!$A$1:$H$42</definedName>
    <definedName name="_xlnm.Print_Area" localSheetId="3">'Apr-Jun 2013'!$A$1:$H$42</definedName>
    <definedName name="_xlnm.Print_Area" localSheetId="2">'Jan-Mar 2013'!$A$1:$H$42</definedName>
    <definedName name="_xlnm.Print_Area" localSheetId="0">'Jul-Sep 2012'!$A$1:$H$42</definedName>
    <definedName name="_xlnm.Print_Area" localSheetId="1">'Oct-Dec 2012'!$A$1:$H$42</definedName>
  </definedNames>
  <calcPr calcId="145621"/>
</workbook>
</file>

<file path=xl/calcChain.xml><?xml version="1.0" encoding="utf-8"?>
<calcChain xmlns="http://schemas.openxmlformats.org/spreadsheetml/2006/main">
  <c r="D40" i="18" l="1"/>
  <c r="F40" i="22"/>
  <c r="G40" i="22"/>
  <c r="G37" i="12"/>
  <c r="G35" i="12"/>
  <c r="G16" i="12"/>
  <c r="F37" i="12"/>
  <c r="F40" i="12"/>
  <c r="G40" i="12" s="1"/>
  <c r="F34" i="12"/>
  <c r="G34" i="12" s="1"/>
  <c r="F42" i="12"/>
  <c r="G42" i="12" s="1"/>
  <c r="F38" i="12"/>
  <c r="G38" i="12" s="1"/>
  <c r="F35" i="12"/>
  <c r="F32" i="12"/>
  <c r="G32" i="12" s="1"/>
  <c r="F16" i="12"/>
  <c r="F40" i="16"/>
  <c r="G40" i="16"/>
  <c r="G6" i="16"/>
  <c r="G4" i="16"/>
  <c r="F3" i="16"/>
  <c r="G3" i="16" s="1"/>
  <c r="F4" i="16"/>
  <c r="F5" i="16"/>
  <c r="G5" i="16" s="1"/>
  <c r="F6" i="16"/>
  <c r="F7" i="16"/>
  <c r="G7" i="16" s="1"/>
  <c r="F8" i="16"/>
  <c r="G8" i="16" s="1"/>
  <c r="B9" i="16"/>
  <c r="C9" i="16"/>
  <c r="D9" i="16"/>
  <c r="E9" i="16"/>
  <c r="H9" i="16"/>
  <c r="F9" i="16" l="1"/>
  <c r="G9" i="16" s="1"/>
  <c r="F34" i="22"/>
  <c r="G34" i="22" s="1"/>
  <c r="F35" i="22"/>
  <c r="G35" i="22" s="1"/>
  <c r="F37" i="22"/>
  <c r="G37" i="22" s="1"/>
  <c r="F38" i="22"/>
  <c r="G38" i="22" s="1"/>
  <c r="F42" i="22"/>
  <c r="G42" i="22" s="1"/>
  <c r="F32" i="22"/>
  <c r="G32" i="22" s="1"/>
  <c r="F26" i="22"/>
  <c r="G26" i="22" s="1"/>
  <c r="F27" i="22"/>
  <c r="G27" i="22" s="1"/>
  <c r="F28" i="22"/>
  <c r="G28" i="22" s="1"/>
  <c r="F25" i="22"/>
  <c r="G25" i="22" s="1"/>
  <c r="F13" i="22"/>
  <c r="G13" i="22" s="1"/>
  <c r="F14" i="22"/>
  <c r="G14" i="22" s="1"/>
  <c r="F15" i="22"/>
  <c r="G15" i="22" s="1"/>
  <c r="F16" i="22"/>
  <c r="G16" i="22" s="1"/>
  <c r="F17" i="22"/>
  <c r="G17" i="22" s="1"/>
  <c r="F18" i="22"/>
  <c r="G18" i="22" s="1"/>
  <c r="F19" i="22"/>
  <c r="G19" i="22" s="1"/>
  <c r="F20" i="22"/>
  <c r="G20" i="22" s="1"/>
  <c r="F21" i="22"/>
  <c r="G21" i="22" s="1"/>
  <c r="F12" i="22"/>
  <c r="G12" i="22" s="1"/>
  <c r="F4" i="22"/>
  <c r="G4" i="22" s="1"/>
  <c r="F5" i="22"/>
  <c r="G5" i="22" s="1"/>
  <c r="F6" i="22"/>
  <c r="G6" i="22" s="1"/>
  <c r="F7" i="22"/>
  <c r="G7" i="22" s="1"/>
  <c r="F8" i="22"/>
  <c r="G8" i="22" s="1"/>
  <c r="F3" i="22"/>
  <c r="G3" i="22" s="1"/>
  <c r="F40" i="20"/>
  <c r="F42" i="20"/>
  <c r="G42" i="20" s="1"/>
  <c r="F38" i="20"/>
  <c r="G38" i="20" s="1"/>
  <c r="F37" i="20"/>
  <c r="G37" i="20" s="1"/>
  <c r="F35" i="20"/>
  <c r="G35" i="20" s="1"/>
  <c r="F34" i="20"/>
  <c r="G34" i="20" s="1"/>
  <c r="F32" i="20"/>
  <c r="G32" i="20" s="1"/>
  <c r="F26" i="20"/>
  <c r="G26" i="20" s="1"/>
  <c r="F27" i="20"/>
  <c r="G27" i="20" s="1"/>
  <c r="F28" i="20"/>
  <c r="G28" i="20" s="1"/>
  <c r="F25" i="20"/>
  <c r="G25" i="20" s="1"/>
  <c r="F13" i="20"/>
  <c r="G13" i="20" s="1"/>
  <c r="F14" i="20"/>
  <c r="G14" i="20" s="1"/>
  <c r="F15" i="20"/>
  <c r="G15" i="20" s="1"/>
  <c r="F16" i="20"/>
  <c r="G16" i="20" s="1"/>
  <c r="F17" i="20"/>
  <c r="G17" i="20" s="1"/>
  <c r="F18" i="20"/>
  <c r="G18" i="20" s="1"/>
  <c r="F19" i="20"/>
  <c r="G19" i="20" s="1"/>
  <c r="F20" i="20"/>
  <c r="G20" i="20" s="1"/>
  <c r="F21" i="20"/>
  <c r="G21" i="20" s="1"/>
  <c r="F12" i="20"/>
  <c r="G12" i="20" s="1"/>
  <c r="F4" i="20"/>
  <c r="G4" i="20" s="1"/>
  <c r="F5" i="20"/>
  <c r="G5" i="20" s="1"/>
  <c r="F6" i="20"/>
  <c r="G6" i="20" s="1"/>
  <c r="F7" i="20"/>
  <c r="G7" i="20" s="1"/>
  <c r="F8" i="20"/>
  <c r="G8" i="20" s="1"/>
  <c r="F3" i="20"/>
  <c r="G3" i="20" s="1"/>
  <c r="F26" i="12"/>
  <c r="G26" i="12" s="1"/>
  <c r="F27" i="12"/>
  <c r="G27" i="12" s="1"/>
  <c r="F28" i="12"/>
  <c r="G28" i="12" s="1"/>
  <c r="F25" i="12"/>
  <c r="G25" i="12" s="1"/>
  <c r="F13" i="12"/>
  <c r="G13" i="12" s="1"/>
  <c r="F14" i="12"/>
  <c r="G14" i="12" s="1"/>
  <c r="F15" i="12"/>
  <c r="G15" i="12" s="1"/>
  <c r="F17" i="12"/>
  <c r="G17" i="12" s="1"/>
  <c r="F18" i="12"/>
  <c r="G18" i="12" s="1"/>
  <c r="F19" i="12"/>
  <c r="G19" i="12" s="1"/>
  <c r="F20" i="12"/>
  <c r="G20" i="12" s="1"/>
  <c r="F21" i="12"/>
  <c r="G21" i="12" s="1"/>
  <c r="F12" i="12"/>
  <c r="G12" i="12" s="1"/>
  <c r="F4" i="12"/>
  <c r="F5" i="12"/>
  <c r="G5" i="12" s="1"/>
  <c r="F6" i="12"/>
  <c r="F7" i="12"/>
  <c r="G7" i="12" s="1"/>
  <c r="F8" i="12"/>
  <c r="F3" i="12"/>
  <c r="G3" i="12" s="1"/>
  <c r="F34" i="16"/>
  <c r="G34" i="16" s="1"/>
  <c r="F35" i="16"/>
  <c r="G35" i="16" s="1"/>
  <c r="F37" i="16"/>
  <c r="F38" i="16"/>
  <c r="G38" i="16" s="1"/>
  <c r="F42" i="16"/>
  <c r="G42" i="16" s="1"/>
  <c r="F32" i="16"/>
  <c r="G32" i="16" s="1"/>
  <c r="F26" i="16"/>
  <c r="G26" i="16" s="1"/>
  <c r="F27" i="16"/>
  <c r="G27" i="16" s="1"/>
  <c r="F28" i="16"/>
  <c r="G28" i="16" s="1"/>
  <c r="F25" i="16"/>
  <c r="G25" i="16" s="1"/>
  <c r="F13" i="16"/>
  <c r="G13" i="16" s="1"/>
  <c r="F14" i="16"/>
  <c r="G14" i="16" s="1"/>
  <c r="F15" i="16"/>
  <c r="G15" i="16" s="1"/>
  <c r="F16" i="16"/>
  <c r="G16" i="16" s="1"/>
  <c r="F17" i="16"/>
  <c r="G17" i="16" s="1"/>
  <c r="F18" i="16"/>
  <c r="G18" i="16" s="1"/>
  <c r="F19" i="16"/>
  <c r="G19" i="16" s="1"/>
  <c r="F20" i="16"/>
  <c r="G20" i="16" s="1"/>
  <c r="F21" i="16"/>
  <c r="G21" i="16" s="1"/>
  <c r="F12" i="16"/>
  <c r="G12" i="16" s="1"/>
  <c r="F3" i="18"/>
  <c r="G3" i="18" s="1"/>
  <c r="E37" i="18"/>
  <c r="D37" i="18"/>
  <c r="B37" i="18"/>
  <c r="C37" i="18"/>
  <c r="D38" i="18"/>
  <c r="F38" i="18"/>
  <c r="G38" i="18" s="1"/>
  <c r="B13" i="18"/>
  <c r="C13" i="18"/>
  <c r="D13" i="18"/>
  <c r="E13" i="18"/>
  <c r="H13" i="18"/>
  <c r="C42" i="18"/>
  <c r="B42" i="18"/>
  <c r="H37" i="18"/>
  <c r="C34" i="18"/>
  <c r="D34" i="18"/>
  <c r="E34" i="18"/>
  <c r="F34" i="18"/>
  <c r="G34" i="18" s="1"/>
  <c r="H34" i="18"/>
  <c r="D35" i="18"/>
  <c r="H35" i="18"/>
  <c r="D32" i="18"/>
  <c r="H32" i="18"/>
  <c r="C25" i="18"/>
  <c r="D25" i="18"/>
  <c r="E25" i="18"/>
  <c r="H25" i="18"/>
  <c r="C26" i="18"/>
  <c r="D26" i="18"/>
  <c r="E26" i="18"/>
  <c r="H26" i="18"/>
  <c r="C27" i="18"/>
  <c r="D27" i="18"/>
  <c r="E27" i="18"/>
  <c r="H27" i="18"/>
  <c r="C28" i="18"/>
  <c r="D28" i="18"/>
  <c r="E28" i="18"/>
  <c r="H28" i="18"/>
  <c r="C12" i="18"/>
  <c r="D12" i="18"/>
  <c r="E12" i="18"/>
  <c r="H12" i="18"/>
  <c r="C14" i="18"/>
  <c r="D14" i="18"/>
  <c r="E14" i="18"/>
  <c r="H14" i="18"/>
  <c r="C15" i="18"/>
  <c r="D15" i="18"/>
  <c r="E15" i="18"/>
  <c r="H15" i="18"/>
  <c r="C16" i="18"/>
  <c r="D16" i="18"/>
  <c r="E16" i="18"/>
  <c r="H16" i="18"/>
  <c r="C17" i="18"/>
  <c r="D17" i="18"/>
  <c r="E17" i="18"/>
  <c r="H17" i="18"/>
  <c r="C18" i="18"/>
  <c r="D18" i="18"/>
  <c r="E18" i="18"/>
  <c r="H18" i="18"/>
  <c r="C19" i="18"/>
  <c r="D19" i="18"/>
  <c r="E19" i="18"/>
  <c r="F19" i="18"/>
  <c r="G19" i="18" s="1"/>
  <c r="H19" i="18"/>
  <c r="C20" i="18"/>
  <c r="D20" i="18"/>
  <c r="E20" i="18"/>
  <c r="H20" i="18"/>
  <c r="C21" i="18"/>
  <c r="D21" i="18"/>
  <c r="E21" i="18"/>
  <c r="H21" i="18"/>
  <c r="B12" i="18"/>
  <c r="B14" i="18"/>
  <c r="B15" i="18"/>
  <c r="B16" i="18"/>
  <c r="B17" i="18"/>
  <c r="B18" i="18"/>
  <c r="B19" i="18"/>
  <c r="B20" i="18"/>
  <c r="B21" i="18"/>
  <c r="B25" i="18"/>
  <c r="B26" i="18"/>
  <c r="B27" i="18"/>
  <c r="B28" i="18"/>
  <c r="B34" i="18"/>
  <c r="H4" i="18"/>
  <c r="H5" i="18"/>
  <c r="H6" i="18"/>
  <c r="H7" i="18"/>
  <c r="H8" i="18"/>
  <c r="H3" i="18"/>
  <c r="F5" i="18"/>
  <c r="G5" i="18" s="1"/>
  <c r="E4" i="18"/>
  <c r="E5" i="18"/>
  <c r="E6" i="18"/>
  <c r="E7" i="18"/>
  <c r="E8" i="18"/>
  <c r="D4" i="18"/>
  <c r="D5" i="18"/>
  <c r="D6" i="18"/>
  <c r="D7" i="18"/>
  <c r="D8" i="18"/>
  <c r="C4" i="18"/>
  <c r="C5" i="18"/>
  <c r="C6" i="18"/>
  <c r="C7" i="18"/>
  <c r="C8" i="18"/>
  <c r="B4" i="18"/>
  <c r="B5" i="18"/>
  <c r="B6" i="18"/>
  <c r="B7" i="18"/>
  <c r="B8" i="18"/>
  <c r="C3" i="18"/>
  <c r="D3" i="18"/>
  <c r="E3" i="18"/>
  <c r="B3" i="18"/>
  <c r="H22" i="22"/>
  <c r="H9" i="22"/>
  <c r="C22" i="22"/>
  <c r="D22" i="22"/>
  <c r="E22" i="22"/>
  <c r="B22" i="22"/>
  <c r="C9" i="22"/>
  <c r="D9" i="22"/>
  <c r="E9" i="22"/>
  <c r="B9" i="22"/>
  <c r="H22" i="20"/>
  <c r="E22" i="20"/>
  <c r="D22" i="20"/>
  <c r="C22" i="20"/>
  <c r="B22" i="20"/>
  <c r="H9" i="20"/>
  <c r="E9" i="20"/>
  <c r="D9" i="20"/>
  <c r="C9" i="20"/>
  <c r="B9" i="20"/>
  <c r="F9" i="20"/>
  <c r="G9" i="20" s="1"/>
  <c r="H22" i="16"/>
  <c r="E22" i="16"/>
  <c r="D22" i="16"/>
  <c r="C22" i="16"/>
  <c r="B22" i="16"/>
  <c r="H22" i="12"/>
  <c r="H9" i="12"/>
  <c r="C9" i="12"/>
  <c r="D9" i="12"/>
  <c r="E9" i="12"/>
  <c r="B9" i="12"/>
  <c r="B22" i="12"/>
  <c r="C22" i="12"/>
  <c r="D22" i="12"/>
  <c r="E22" i="12"/>
  <c r="F37" i="18" l="1"/>
  <c r="G37" i="18" s="1"/>
  <c r="G37" i="16"/>
  <c r="F8" i="18"/>
  <c r="G8" i="18" s="1"/>
  <c r="G8" i="12"/>
  <c r="F4" i="18"/>
  <c r="G4" i="18" s="1"/>
  <c r="G4" i="12"/>
  <c r="F40" i="18"/>
  <c r="G40" i="18" s="1"/>
  <c r="G40" i="20"/>
  <c r="F7" i="18"/>
  <c r="G7" i="18" s="1"/>
  <c r="F15" i="18"/>
  <c r="G15" i="18" s="1"/>
  <c r="F35" i="18"/>
  <c r="G35" i="18" s="1"/>
  <c r="F26" i="18"/>
  <c r="G26" i="18" s="1"/>
  <c r="F6" i="18"/>
  <c r="G6" i="18" s="1"/>
  <c r="G6" i="12"/>
  <c r="F9" i="22"/>
  <c r="G9" i="22" s="1"/>
  <c r="F12" i="18"/>
  <c r="G12" i="18" s="1"/>
  <c r="F22" i="22"/>
  <c r="G22" i="22" s="1"/>
  <c r="F21" i="18"/>
  <c r="G21" i="18" s="1"/>
  <c r="F17" i="18"/>
  <c r="G17" i="18" s="1"/>
  <c r="F32" i="18"/>
  <c r="G32" i="18" s="1"/>
  <c r="F28" i="18"/>
  <c r="G28" i="18" s="1"/>
  <c r="F27" i="18"/>
  <c r="G27" i="18" s="1"/>
  <c r="F25" i="18"/>
  <c r="G25" i="18" s="1"/>
  <c r="F13" i="18"/>
  <c r="G13" i="18" s="1"/>
  <c r="F22" i="20"/>
  <c r="G22" i="20" s="1"/>
  <c r="H30" i="12"/>
  <c r="F42" i="18"/>
  <c r="G42" i="18" s="1"/>
  <c r="F20" i="18"/>
  <c r="G20" i="18" s="1"/>
  <c r="F18" i="18"/>
  <c r="G18" i="18" s="1"/>
  <c r="F16" i="18"/>
  <c r="G16" i="18" s="1"/>
  <c r="F14" i="18"/>
  <c r="G14" i="18" s="1"/>
  <c r="H30" i="20"/>
  <c r="E30" i="20"/>
  <c r="E30" i="12"/>
  <c r="H30" i="16"/>
  <c r="E30" i="16"/>
  <c r="C30" i="16"/>
  <c r="B30" i="16"/>
  <c r="C30" i="20"/>
  <c r="B30" i="20"/>
  <c r="C30" i="12"/>
  <c r="B30" i="12"/>
  <c r="D30" i="12"/>
  <c r="E30" i="22"/>
  <c r="C30" i="22"/>
  <c r="B30" i="22"/>
  <c r="H30" i="22"/>
  <c r="D30" i="22"/>
  <c r="D30" i="20"/>
  <c r="D30" i="16"/>
  <c r="E9" i="18"/>
  <c r="C9" i="18"/>
  <c r="F22" i="16"/>
  <c r="G22" i="16" s="1"/>
  <c r="D22" i="18"/>
  <c r="H22" i="18"/>
  <c r="C22" i="18"/>
  <c r="E22" i="18"/>
  <c r="B22" i="18"/>
  <c r="B9" i="18"/>
  <c r="D9" i="18"/>
  <c r="H9" i="18"/>
  <c r="F22" i="12"/>
  <c r="G22" i="12" s="1"/>
  <c r="F9" i="12"/>
  <c r="G9" i="12" s="1"/>
  <c r="F30" i="22" l="1"/>
  <c r="G30" i="22" s="1"/>
  <c r="F30" i="12"/>
  <c r="G30" i="12" s="1"/>
  <c r="F22" i="18"/>
  <c r="G22" i="18" s="1"/>
  <c r="F30" i="20"/>
  <c r="G30" i="20" s="1"/>
  <c r="F30" i="16"/>
  <c r="G30" i="16" s="1"/>
  <c r="E30" i="18"/>
  <c r="D30" i="18"/>
  <c r="C30" i="18"/>
  <c r="B30" i="18"/>
  <c r="H30" i="18"/>
  <c r="F9" i="18"/>
  <c r="G9" i="18" s="1"/>
  <c r="F30" i="18" l="1"/>
  <c r="G30" i="18" s="1"/>
</calcChain>
</file>

<file path=xl/sharedStrings.xml><?xml version="1.0" encoding="utf-8"?>
<sst xmlns="http://schemas.openxmlformats.org/spreadsheetml/2006/main" count="209" uniqueCount="47">
  <si>
    <t>Unit</t>
  </si>
  <si>
    <t>Initial Circ</t>
  </si>
  <si>
    <t>Renewals</t>
  </si>
  <si>
    <t>Reserves</t>
  </si>
  <si>
    <t>In Library use</t>
  </si>
  <si>
    <t>Paging</t>
  </si>
  <si>
    <t xml:space="preserve">   Microforms-Newspapers</t>
  </si>
  <si>
    <t xml:space="preserve">   Reference </t>
  </si>
  <si>
    <t xml:space="preserve">   Art</t>
  </si>
  <si>
    <t xml:space="preserve">   Drama</t>
  </si>
  <si>
    <t xml:space="preserve">   Music</t>
  </si>
  <si>
    <t xml:space="preserve">   Engineering</t>
  </si>
  <si>
    <t xml:space="preserve">   Friday Harbor</t>
  </si>
  <si>
    <t xml:space="preserve">   Math. Research</t>
  </si>
  <si>
    <t>SEATTLE TOTAL</t>
  </si>
  <si>
    <t xml:space="preserve">Seattle Electronic Reserves </t>
  </si>
  <si>
    <t>Bothell/CCC</t>
  </si>
  <si>
    <t>Bothell Electronic Reserves</t>
  </si>
  <si>
    <t>Tacoma</t>
  </si>
  <si>
    <t>Tacoma Electronic Reserves</t>
  </si>
  <si>
    <t>Total This Quarter</t>
  </si>
  <si>
    <t xml:space="preserve">   Maps</t>
  </si>
  <si>
    <t xml:space="preserve">   Music Listening Center</t>
  </si>
  <si>
    <t xml:space="preserve">   Health Sciences</t>
  </si>
  <si>
    <t xml:space="preserve">   Foster Business</t>
  </si>
  <si>
    <t>BRANCH TOTAL</t>
  </si>
  <si>
    <t xml:space="preserve">   Physics-Astronomy</t>
  </si>
  <si>
    <t xml:space="preserve">   Odegaard Undergraduate</t>
  </si>
  <si>
    <t xml:space="preserve">   Media Center</t>
  </si>
  <si>
    <t xml:space="preserve">   East Asia</t>
  </si>
  <si>
    <t>SUZZALLO/ALLEN TOTAL</t>
  </si>
  <si>
    <t xml:space="preserve">   Circulation</t>
  </si>
  <si>
    <t xml:space="preserve">   Government Publications</t>
  </si>
  <si>
    <t xml:space="preserve">   Special Collections</t>
  </si>
  <si>
    <t>Suzzallo/Allen Units</t>
  </si>
  <si>
    <t xml:space="preserve">Branch Units </t>
  </si>
  <si>
    <t>Other Units</t>
  </si>
  <si>
    <t xml:space="preserve">   Built Environments</t>
  </si>
  <si>
    <t xml:space="preserve">   Built Environments </t>
  </si>
  <si>
    <t>ILL and Summit</t>
  </si>
  <si>
    <t xml:space="preserve">   </t>
  </si>
  <si>
    <t>Total This Year</t>
  </si>
  <si>
    <t>Streaming Media</t>
  </si>
  <si>
    <t xml:space="preserve">  </t>
  </si>
  <si>
    <t xml:space="preserve"> </t>
  </si>
  <si>
    <t>Change from. 11/12</t>
  </si>
  <si>
    <t>Change from 11/12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</si>
</sst>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0"/>
      <color indexed="63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NumberFormat="1" applyFont="1" applyFill="1" applyBorder="1" applyProtection="1"/>
    <xf numFmtId="9" fontId="1" fillId="0" borderId="1" xfId="0" applyNumberFormat="1" applyFont="1" applyFill="1" applyBorder="1" applyProtection="1"/>
    <xf numFmtId="0" fontId="1" fillId="2" borderId="1" xfId="0" applyNumberFormat="1" applyFont="1" applyFill="1" applyBorder="1" applyProtection="1"/>
    <xf numFmtId="9" fontId="1" fillId="2" borderId="1" xfId="0" applyNumberFormat="1" applyFont="1" applyFill="1" applyBorder="1" applyProtection="1"/>
    <xf numFmtId="0" fontId="0" fillId="2" borderId="0" xfId="0" applyFill="1"/>
    <xf numFmtId="0" fontId="1" fillId="2" borderId="2" xfId="0" applyNumberFormat="1" applyFont="1" applyFill="1" applyBorder="1" applyProtection="1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 applyProtection="1">
      <alignment horizontal="center" wrapText="1"/>
      <protection locked="0"/>
    </xf>
    <xf numFmtId="0" fontId="2" fillId="0" borderId="1" xfId="0" applyNumberFormat="1" applyFont="1" applyFill="1" applyBorder="1" applyAlignment="1" applyProtection="1">
      <alignment horizontal="center" wrapText="1"/>
      <protection locked="0"/>
    </xf>
    <xf numFmtId="0" fontId="0" fillId="0" borderId="3" xfId="0" applyBorder="1" applyAlignment="1"/>
    <xf numFmtId="0" fontId="1" fillId="2" borderId="2" xfId="0" applyNumberFormat="1" applyFont="1" applyFill="1" applyBorder="1" applyAlignment="1" applyProtection="1">
      <alignment horizontal="left"/>
    </xf>
    <xf numFmtId="0" fontId="1" fillId="0" borderId="1" xfId="0" applyNumberFormat="1" applyFont="1" applyBorder="1" applyProtection="1"/>
    <xf numFmtId="0" fontId="3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left"/>
    </xf>
    <xf numFmtId="0" fontId="1" fillId="2" borderId="1" xfId="0" applyNumberFormat="1" applyFont="1" applyFill="1" applyBorder="1" applyAlignment="1" applyProtection="1">
      <alignment horizontal="left"/>
    </xf>
    <xf numFmtId="0" fontId="1" fillId="0" borderId="1" xfId="0" applyFont="1" applyBorder="1" applyProtection="1"/>
    <xf numFmtId="0" fontId="0" fillId="0" borderId="0" xfId="0" applyFill="1"/>
    <xf numFmtId="0" fontId="1" fillId="3" borderId="2" xfId="0" applyNumberFormat="1" applyFont="1" applyFill="1" applyBorder="1" applyProtection="1"/>
    <xf numFmtId="0" fontId="1" fillId="4" borderId="1" xfId="0" applyNumberFormat="1" applyFont="1" applyFill="1" applyBorder="1" applyProtection="1"/>
    <xf numFmtId="9" fontId="1" fillId="5" borderId="1" xfId="0" applyNumberFormat="1" applyFont="1" applyFill="1" applyBorder="1" applyProtection="1"/>
    <xf numFmtId="9" fontId="1" fillId="4" borderId="2" xfId="0" applyNumberFormat="1" applyFont="1" applyFill="1" applyBorder="1" applyProtection="1"/>
    <xf numFmtId="9" fontId="1" fillId="5" borderId="2" xfId="0" applyNumberFormat="1" applyFont="1" applyFill="1" applyBorder="1" applyProtection="1"/>
    <xf numFmtId="9" fontId="1" fillId="4" borderId="1" xfId="0" applyNumberFormat="1" applyFont="1" applyFill="1" applyBorder="1" applyProtection="1"/>
    <xf numFmtId="0" fontId="1" fillId="4" borderId="1" xfId="0" applyNumberFormat="1" applyFont="1" applyFill="1" applyBorder="1" applyAlignment="1" applyProtection="1">
      <alignment horizontal="left"/>
    </xf>
    <xf numFmtId="0" fontId="0" fillId="4" borderId="0" xfId="0" applyFill="1"/>
    <xf numFmtId="0" fontId="1" fillId="5" borderId="2" xfId="0" applyNumberFormat="1" applyFont="1" applyFill="1" applyBorder="1" applyProtection="1"/>
    <xf numFmtId="0" fontId="2" fillId="0" borderId="2" xfId="0" applyNumberFormat="1" applyFont="1" applyBorder="1" applyAlignment="1" applyProtection="1">
      <alignment horizontal="center" wrapText="1"/>
      <protection locked="0"/>
    </xf>
    <xf numFmtId="0" fontId="0" fillId="0" borderId="0" xfId="0" applyBorder="1" applyAlignment="1"/>
    <xf numFmtId="0" fontId="1" fillId="0" borderId="1" xfId="0" applyFont="1" applyBorder="1" applyAlignment="1">
      <alignment horizontal="left"/>
    </xf>
    <xf numFmtId="0" fontId="0" fillId="0" borderId="1" xfId="0" applyBorder="1"/>
    <xf numFmtId="9" fontId="3" fillId="0" borderId="1" xfId="0" applyNumberFormat="1" applyFont="1" applyBorder="1" applyProtection="1"/>
    <xf numFmtId="0" fontId="1" fillId="5" borderId="2" xfId="0" applyNumberFormat="1" applyFont="1" applyFill="1" applyBorder="1" applyAlignment="1" applyProtection="1">
      <alignment horizontal="left"/>
    </xf>
    <xf numFmtId="0" fontId="3" fillId="5" borderId="1" xfId="0" applyNumberFormat="1" applyFont="1" applyFill="1" applyBorder="1" applyProtection="1"/>
    <xf numFmtId="9" fontId="3" fillId="5" borderId="1" xfId="0" applyNumberFormat="1" applyFont="1" applyFill="1" applyBorder="1" applyProtection="1"/>
    <xf numFmtId="0" fontId="1" fillId="5" borderId="1" xfId="0" applyNumberFormat="1" applyFont="1" applyFill="1" applyBorder="1" applyAlignment="1" applyProtection="1">
      <alignment horizontal="left"/>
    </xf>
    <xf numFmtId="0" fontId="1" fillId="5" borderId="1" xfId="0" applyNumberFormat="1" applyFont="1" applyFill="1" applyBorder="1" applyProtection="1"/>
    <xf numFmtId="0" fontId="1" fillId="0" borderId="0" xfId="0" applyNumberFormat="1" applyFont="1" applyBorder="1" applyProtection="1"/>
    <xf numFmtId="0" fontId="1" fillId="0" borderId="0" xfId="0" applyFont="1" applyBorder="1" applyProtection="1"/>
    <xf numFmtId="0" fontId="1" fillId="4" borderId="0" xfId="0" applyNumberFormat="1" applyFont="1" applyFill="1" applyBorder="1" applyProtection="1"/>
    <xf numFmtId="9" fontId="1" fillId="4" borderId="0" xfId="0" applyNumberFormat="1" applyFont="1" applyFill="1" applyBorder="1" applyProtection="1"/>
    <xf numFmtId="9" fontId="1" fillId="4" borderId="1" xfId="0" applyNumberFormat="1" applyFont="1" applyFill="1" applyBorder="1" applyAlignment="1" applyProtection="1">
      <alignment horizontal="right"/>
    </xf>
    <xf numFmtId="0" fontId="1" fillId="0" borderId="4" xfId="0" applyNumberFormat="1" applyFont="1" applyBorder="1" applyProtection="1"/>
    <xf numFmtId="0" fontId="1" fillId="0" borderId="4" xfId="0" applyFont="1" applyBorder="1" applyProtection="1"/>
    <xf numFmtId="0" fontId="1" fillId="0" borderId="1" xfId="0" applyFont="1" applyBorder="1"/>
    <xf numFmtId="0" fontId="1" fillId="0" borderId="0" xfId="0" applyFont="1"/>
    <xf numFmtId="0" fontId="1" fillId="0" borderId="0" xfId="0" applyFont="1" applyFill="1"/>
    <xf numFmtId="9" fontId="1" fillId="0" borderId="1" xfId="0" applyNumberFormat="1" applyFont="1" applyBorder="1" applyAlignment="1">
      <alignment horizontal="right"/>
    </xf>
    <xf numFmtId="1" fontId="1" fillId="0" borderId="0" xfId="0" applyNumberFormat="1" applyFont="1"/>
    <xf numFmtId="1" fontId="1" fillId="3" borderId="2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view="pageLayout" topLeftCell="A10" zoomScaleNormal="100" workbookViewId="0">
      <selection activeCell="D40" sqref="D40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2" customWidth="1"/>
  </cols>
  <sheetData>
    <row r="1" spans="1:15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20</v>
      </c>
      <c r="G1" s="8" t="s">
        <v>45</v>
      </c>
      <c r="H1" s="8" t="s">
        <v>5</v>
      </c>
    </row>
    <row r="2" spans="1:15" s="29" customFormat="1" ht="12.75" customHeight="1" x14ac:dyDescent="0.25">
      <c r="A2" s="30" t="s">
        <v>34</v>
      </c>
      <c r="B2" s="8"/>
      <c r="C2" s="9"/>
      <c r="D2" s="8"/>
      <c r="E2" s="8"/>
      <c r="F2" s="28"/>
      <c r="G2" s="28"/>
      <c r="H2" s="8"/>
    </row>
    <row r="3" spans="1:15" x14ac:dyDescent="0.2">
      <c r="A3" s="12" t="s">
        <v>31</v>
      </c>
      <c r="B3" s="13">
        <v>32406</v>
      </c>
      <c r="C3" s="13">
        <v>145447</v>
      </c>
      <c r="D3" s="13">
        <v>0</v>
      </c>
      <c r="E3" s="13">
        <v>16378</v>
      </c>
      <c r="F3" s="19">
        <f>SUM(B3:E3)</f>
        <v>194231</v>
      </c>
      <c r="G3" s="22">
        <f>F3/196932-1</f>
        <v>-1.3715394146202708E-2</v>
      </c>
      <c r="H3" s="13">
        <v>14677</v>
      </c>
    </row>
    <row r="4" spans="1:15" x14ac:dyDescent="0.2">
      <c r="A4" s="14" t="s">
        <v>32</v>
      </c>
      <c r="B4" s="13">
        <v>723</v>
      </c>
      <c r="C4" s="13">
        <v>1496</v>
      </c>
      <c r="D4" s="13">
        <v>0</v>
      </c>
      <c r="E4" s="13">
        <v>1722</v>
      </c>
      <c r="F4" s="19">
        <f t="shared" ref="F4:F8" si="0">SUM(B4:E4)</f>
        <v>3941</v>
      </c>
      <c r="G4" s="22">
        <f>F4/4007-1</f>
        <v>-1.6471175442974828E-2</v>
      </c>
      <c r="H4" s="13">
        <v>156</v>
      </c>
      <c r="I4" s="46" t="s">
        <v>40</v>
      </c>
    </row>
    <row r="5" spans="1:15" x14ac:dyDescent="0.2">
      <c r="A5" s="14" t="s">
        <v>21</v>
      </c>
      <c r="B5" s="13">
        <v>187</v>
      </c>
      <c r="C5" s="13">
        <v>695</v>
      </c>
      <c r="D5" s="13">
        <v>0</v>
      </c>
      <c r="E5" s="13">
        <v>1375</v>
      </c>
      <c r="F5" s="19">
        <f t="shared" si="0"/>
        <v>2257</v>
      </c>
      <c r="G5" s="22">
        <f>F5/2120-1</f>
        <v>6.4622641509433976E-2</v>
      </c>
      <c r="H5" s="13">
        <v>14</v>
      </c>
    </row>
    <row r="6" spans="1:15" x14ac:dyDescent="0.2">
      <c r="A6" s="14" t="s">
        <v>6</v>
      </c>
      <c r="B6" s="13">
        <v>360</v>
      </c>
      <c r="C6" s="13">
        <v>2</v>
      </c>
      <c r="D6" s="13">
        <v>1099</v>
      </c>
      <c r="E6" s="13">
        <v>4352</v>
      </c>
      <c r="F6" s="19">
        <f t="shared" si="0"/>
        <v>5813</v>
      </c>
      <c r="G6" s="22">
        <f>F6/6242-1</f>
        <v>-6.8727971803908994E-2</v>
      </c>
      <c r="H6" s="13">
        <v>0</v>
      </c>
    </row>
    <row r="7" spans="1:15" x14ac:dyDescent="0.2">
      <c r="A7" s="12" t="s">
        <v>7</v>
      </c>
      <c r="B7" s="13">
        <v>956</v>
      </c>
      <c r="C7" s="13">
        <v>5</v>
      </c>
      <c r="D7" s="13">
        <v>0</v>
      </c>
      <c r="E7" s="13">
        <v>0</v>
      </c>
      <c r="F7" s="19">
        <f t="shared" si="0"/>
        <v>961</v>
      </c>
      <c r="G7" s="22">
        <f>F7/453-1</f>
        <v>1.1214128035320088</v>
      </c>
      <c r="H7" s="13"/>
    </row>
    <row r="8" spans="1:15" x14ac:dyDescent="0.2">
      <c r="A8" s="14" t="s">
        <v>33</v>
      </c>
      <c r="B8" s="13">
        <v>6</v>
      </c>
      <c r="C8" s="13">
        <v>4</v>
      </c>
      <c r="D8" s="13">
        <v>0</v>
      </c>
      <c r="E8" s="13">
        <v>6355</v>
      </c>
      <c r="F8" s="19">
        <f t="shared" si="0"/>
        <v>6365</v>
      </c>
      <c r="G8" s="22">
        <f>F8/8254-1</f>
        <v>-0.22885873515871091</v>
      </c>
      <c r="H8" s="13">
        <v>0</v>
      </c>
      <c r="I8" s="18"/>
      <c r="J8" s="18"/>
      <c r="K8" s="18"/>
      <c r="L8" s="18"/>
      <c r="M8" s="18"/>
      <c r="N8" s="18"/>
      <c r="O8" s="18"/>
    </row>
    <row r="9" spans="1:15" s="5" customFormat="1" x14ac:dyDescent="0.2">
      <c r="A9" s="11" t="s">
        <v>30</v>
      </c>
      <c r="B9" s="6">
        <f>SUM(B3:B8)</f>
        <v>34638</v>
      </c>
      <c r="C9" s="6">
        <f>SUM(C3:C8)</f>
        <v>147649</v>
      </c>
      <c r="D9" s="6">
        <f>SUM(D3:D8)</f>
        <v>1099</v>
      </c>
      <c r="E9" s="6">
        <f>SUM(E3:E8)</f>
        <v>30182</v>
      </c>
      <c r="F9" s="27">
        <f t="shared" ref="F9" si="1">SUM(B9:E9)</f>
        <v>213568</v>
      </c>
      <c r="G9" s="23">
        <f>F9/218721-1</f>
        <v>-2.3559694770963868E-2</v>
      </c>
      <c r="H9" s="6">
        <f>SUM(H3:H8)</f>
        <v>14847</v>
      </c>
      <c r="I9" s="18"/>
      <c r="J9" s="18"/>
      <c r="K9" s="18"/>
      <c r="L9" s="18"/>
      <c r="M9" s="18"/>
      <c r="N9" s="18"/>
      <c r="O9" s="18"/>
    </row>
    <row r="10" spans="1:15" x14ac:dyDescent="0.2">
      <c r="A10" s="14"/>
      <c r="B10" s="12"/>
      <c r="C10" s="1"/>
      <c r="D10" s="12"/>
      <c r="E10" s="12"/>
      <c r="F10" s="1"/>
      <c r="G10" s="2"/>
      <c r="H10" s="12"/>
      <c r="I10" s="18"/>
      <c r="J10" s="18"/>
      <c r="K10" s="18"/>
      <c r="L10" s="18"/>
      <c r="M10" s="18"/>
      <c r="N10" s="18"/>
      <c r="O10" s="18"/>
    </row>
    <row r="11" spans="1:15" x14ac:dyDescent="0.2">
      <c r="A11" s="14" t="s">
        <v>35</v>
      </c>
      <c r="B11" s="12"/>
      <c r="C11" s="1"/>
      <c r="D11" s="12"/>
      <c r="E11" s="12"/>
      <c r="F11" s="1"/>
      <c r="G11" s="2"/>
      <c r="H11" s="12"/>
      <c r="I11" s="18"/>
      <c r="J11" s="18"/>
      <c r="K11" s="18"/>
      <c r="L11" s="18"/>
      <c r="M11" s="18"/>
      <c r="N11" s="18"/>
      <c r="O11" s="18"/>
    </row>
    <row r="12" spans="1:15" x14ac:dyDescent="0.2">
      <c r="A12" s="15" t="s">
        <v>8</v>
      </c>
      <c r="B12" s="1">
        <v>2313</v>
      </c>
      <c r="C12" s="1">
        <v>6219</v>
      </c>
      <c r="D12" s="1">
        <v>33</v>
      </c>
      <c r="E12" s="1">
        <v>1236</v>
      </c>
      <c r="F12" s="20">
        <f>SUM(B12:E12)</f>
        <v>9801</v>
      </c>
      <c r="G12" s="24">
        <f>F12/9443-1</f>
        <v>3.791168060997574E-2</v>
      </c>
      <c r="H12" s="1">
        <v>944</v>
      </c>
      <c r="I12" s="18"/>
      <c r="J12" s="18"/>
      <c r="K12" s="18"/>
      <c r="L12" s="18"/>
      <c r="M12" s="18"/>
      <c r="N12" s="18"/>
      <c r="O12" s="18"/>
    </row>
    <row r="13" spans="1:15" x14ac:dyDescent="0.2">
      <c r="A13" s="15" t="s">
        <v>37</v>
      </c>
      <c r="B13" s="1">
        <v>1715</v>
      </c>
      <c r="C13" s="1">
        <v>4237</v>
      </c>
      <c r="D13" s="1">
        <v>53</v>
      </c>
      <c r="E13" s="1">
        <v>646</v>
      </c>
      <c r="F13" s="20">
        <f t="shared" ref="F13:F21" si="2">SUM(B13:E13)</f>
        <v>6651</v>
      </c>
      <c r="G13" s="24">
        <f>F13/6408-1</f>
        <v>3.7921348314606806E-2</v>
      </c>
      <c r="H13" s="1">
        <v>621</v>
      </c>
      <c r="I13" s="18"/>
      <c r="J13" s="18"/>
      <c r="K13" s="18"/>
      <c r="L13" s="18"/>
      <c r="M13" s="18"/>
      <c r="N13" s="18"/>
      <c r="O13" s="18"/>
    </row>
    <row r="14" spans="1:15" x14ac:dyDescent="0.2">
      <c r="A14" s="15" t="s">
        <v>9</v>
      </c>
      <c r="B14" s="1">
        <v>1233</v>
      </c>
      <c r="C14" s="1">
        <v>2825</v>
      </c>
      <c r="D14" s="1">
        <v>4</v>
      </c>
      <c r="E14" s="1">
        <v>259</v>
      </c>
      <c r="F14" s="20">
        <f t="shared" si="2"/>
        <v>4321</v>
      </c>
      <c r="G14" s="24">
        <f>F14/4019-1</f>
        <v>7.5143070415526259E-2</v>
      </c>
      <c r="H14" s="1">
        <v>344</v>
      </c>
      <c r="I14" s="18"/>
      <c r="J14" s="18"/>
      <c r="K14" s="18"/>
      <c r="L14" s="18"/>
      <c r="M14" s="18"/>
      <c r="N14" s="18"/>
      <c r="O14" s="18"/>
    </row>
    <row r="15" spans="1:15" x14ac:dyDescent="0.2">
      <c r="A15" s="15" t="s">
        <v>11</v>
      </c>
      <c r="B15" s="1">
        <v>2805</v>
      </c>
      <c r="C15" s="1">
        <v>5802</v>
      </c>
      <c r="D15" s="1">
        <v>312</v>
      </c>
      <c r="E15" s="1">
        <v>1012</v>
      </c>
      <c r="F15" s="20">
        <f t="shared" si="2"/>
        <v>9931</v>
      </c>
      <c r="G15" s="24">
        <f>F15/9046-1</f>
        <v>9.7833296484634014E-2</v>
      </c>
      <c r="H15" s="1">
        <v>835</v>
      </c>
      <c r="I15" s="18"/>
      <c r="J15" s="18"/>
      <c r="K15" s="18"/>
      <c r="L15" s="18"/>
      <c r="M15" s="18"/>
      <c r="N15" s="18"/>
      <c r="O15" s="18"/>
    </row>
    <row r="16" spans="1:15" x14ac:dyDescent="0.2">
      <c r="A16" s="14" t="s">
        <v>24</v>
      </c>
      <c r="B16" s="1">
        <v>1131</v>
      </c>
      <c r="C16" s="1">
        <v>1923</v>
      </c>
      <c r="D16" s="1">
        <v>664</v>
      </c>
      <c r="E16" s="1">
        <v>123</v>
      </c>
      <c r="F16" s="20">
        <f t="shared" si="2"/>
        <v>3841</v>
      </c>
      <c r="G16" s="24">
        <f>F16/3749-1</f>
        <v>2.4539877300613577E-2</v>
      </c>
      <c r="H16" s="1">
        <v>454</v>
      </c>
      <c r="I16" s="18"/>
      <c r="J16" s="18"/>
      <c r="K16" s="18"/>
      <c r="L16" s="18"/>
      <c r="M16" s="18"/>
      <c r="N16" s="18"/>
      <c r="O16" s="18"/>
    </row>
    <row r="17" spans="1:15" x14ac:dyDescent="0.2">
      <c r="A17" s="14" t="s">
        <v>12</v>
      </c>
      <c r="B17" s="1">
        <v>359</v>
      </c>
      <c r="C17" s="1">
        <v>2</v>
      </c>
      <c r="D17" s="1">
        <v>0</v>
      </c>
      <c r="E17" s="1">
        <v>126</v>
      </c>
      <c r="F17" s="20">
        <f t="shared" si="2"/>
        <v>487</v>
      </c>
      <c r="G17" s="24">
        <f>F17/541-1</f>
        <v>-9.9815157116451059E-2</v>
      </c>
      <c r="H17" s="1">
        <v>0</v>
      </c>
      <c r="I17" s="18"/>
      <c r="J17" s="18"/>
      <c r="K17" s="18"/>
      <c r="L17" s="18"/>
      <c r="M17" s="18"/>
      <c r="N17" s="18"/>
      <c r="O17" s="18"/>
    </row>
    <row r="18" spans="1:15" x14ac:dyDescent="0.2">
      <c r="A18" s="14" t="s">
        <v>13</v>
      </c>
      <c r="B18" s="1">
        <v>1646</v>
      </c>
      <c r="C18" s="1">
        <v>4430</v>
      </c>
      <c r="D18" s="1">
        <v>148</v>
      </c>
      <c r="E18" s="1">
        <v>760</v>
      </c>
      <c r="F18" s="20">
        <f t="shared" si="2"/>
        <v>6984</v>
      </c>
      <c r="G18" s="24">
        <f>F18/7506-1</f>
        <v>-6.9544364508393297E-2</v>
      </c>
      <c r="H18" s="1">
        <v>615</v>
      </c>
      <c r="I18" s="18"/>
      <c r="J18" s="18"/>
      <c r="K18" s="18"/>
      <c r="L18" s="18"/>
      <c r="M18" s="18"/>
      <c r="N18" s="18"/>
      <c r="O18" s="18"/>
    </row>
    <row r="19" spans="1:15" x14ac:dyDescent="0.2">
      <c r="A19" s="14" t="s">
        <v>10</v>
      </c>
      <c r="B19" s="1">
        <v>2388</v>
      </c>
      <c r="C19" s="1">
        <v>5422</v>
      </c>
      <c r="D19" s="1">
        <v>69</v>
      </c>
      <c r="E19" s="1">
        <v>495</v>
      </c>
      <c r="F19" s="20">
        <f t="shared" si="2"/>
        <v>8374</v>
      </c>
      <c r="G19" s="24">
        <f>F19/8490-1</f>
        <v>-1.3663133097762126E-2</v>
      </c>
      <c r="H19" s="1">
        <v>475</v>
      </c>
      <c r="I19" s="18"/>
      <c r="J19" s="18"/>
      <c r="K19" s="18"/>
      <c r="L19" s="18"/>
      <c r="M19" s="18"/>
      <c r="N19" s="18"/>
      <c r="O19" s="18"/>
    </row>
    <row r="20" spans="1:15" x14ac:dyDescent="0.2">
      <c r="A20" s="12" t="s">
        <v>22</v>
      </c>
      <c r="B20" s="1">
        <v>196</v>
      </c>
      <c r="C20" s="1">
        <v>126</v>
      </c>
      <c r="D20" s="1">
        <v>44</v>
      </c>
      <c r="E20" s="1">
        <v>2</v>
      </c>
      <c r="F20" s="20">
        <f t="shared" si="2"/>
        <v>368</v>
      </c>
      <c r="G20" s="24">
        <f>F20/598-1</f>
        <v>-0.38461538461538458</v>
      </c>
      <c r="H20" s="1">
        <v>11</v>
      </c>
      <c r="I20" s="18"/>
      <c r="J20" s="18"/>
      <c r="K20" s="18"/>
      <c r="L20" s="18"/>
      <c r="M20" s="18"/>
      <c r="N20" s="18"/>
      <c r="O20" s="18"/>
    </row>
    <row r="21" spans="1:15" x14ac:dyDescent="0.2">
      <c r="A21" s="12" t="s">
        <v>26</v>
      </c>
      <c r="B21" s="1">
        <v>529</v>
      </c>
      <c r="C21" s="1">
        <v>2723</v>
      </c>
      <c r="D21" s="1">
        <v>167</v>
      </c>
      <c r="E21" s="1">
        <v>334</v>
      </c>
      <c r="F21" s="20">
        <f t="shared" si="2"/>
        <v>3753</v>
      </c>
      <c r="G21" s="24">
        <f>F21/3833-1</f>
        <v>-2.0871380120010441E-2</v>
      </c>
      <c r="H21" s="1">
        <v>181</v>
      </c>
      <c r="I21" s="18"/>
      <c r="J21" s="18"/>
      <c r="K21" s="18"/>
      <c r="L21" s="18"/>
      <c r="M21" s="18"/>
      <c r="N21" s="18"/>
      <c r="O21" s="18"/>
    </row>
    <row r="22" spans="1:15" s="5" customFormat="1" x14ac:dyDescent="0.2">
      <c r="A22" s="16" t="s">
        <v>25</v>
      </c>
      <c r="B22" s="3">
        <f>SUM(B12:B21)</f>
        <v>14315</v>
      </c>
      <c r="C22" s="3">
        <f>SUM(C12:C21)</f>
        <v>33709</v>
      </c>
      <c r="D22" s="3">
        <f>SUM(D12:D21)</f>
        <v>1494</v>
      </c>
      <c r="E22" s="3">
        <f>SUM(E12:E21)</f>
        <v>4993</v>
      </c>
      <c r="F22" s="3">
        <f t="shared" ref="F22" si="3">SUM(B22:E22)</f>
        <v>54511</v>
      </c>
      <c r="G22" s="21">
        <f>F22/53633-1</f>
        <v>1.6370518151138214E-2</v>
      </c>
      <c r="H22" s="3">
        <f>SUM(H12:H21)</f>
        <v>4480</v>
      </c>
      <c r="I22" s="18"/>
      <c r="J22" s="18"/>
      <c r="K22" s="18"/>
      <c r="L22" s="18"/>
      <c r="M22" s="18"/>
      <c r="N22" s="18"/>
      <c r="O22" s="18"/>
    </row>
    <row r="23" spans="1:15" s="26" customFormat="1" x14ac:dyDescent="0.2">
      <c r="A23" s="25"/>
      <c r="B23" s="20"/>
      <c r="C23" s="20"/>
      <c r="D23" s="20"/>
      <c r="E23" s="20"/>
      <c r="F23" s="20"/>
      <c r="G23" s="24"/>
      <c r="H23" s="20"/>
      <c r="I23" s="18"/>
      <c r="J23" s="18"/>
      <c r="K23" s="18"/>
      <c r="L23" s="18"/>
      <c r="M23" s="18"/>
      <c r="N23" s="18"/>
      <c r="O23" s="18"/>
    </row>
    <row r="24" spans="1:15" s="26" customFormat="1" x14ac:dyDescent="0.2">
      <c r="A24" s="25" t="s">
        <v>36</v>
      </c>
      <c r="B24" s="20"/>
      <c r="C24" s="20"/>
      <c r="D24" s="20"/>
      <c r="E24" s="20"/>
      <c r="F24" s="20"/>
      <c r="G24" s="24"/>
      <c r="H24" s="20"/>
      <c r="I24" s="18"/>
      <c r="J24" s="18"/>
      <c r="K24" s="18"/>
      <c r="L24" s="18"/>
      <c r="M24" s="18"/>
      <c r="N24" s="18"/>
      <c r="O24" s="18"/>
    </row>
    <row r="25" spans="1:15" x14ac:dyDescent="0.2">
      <c r="A25" s="12" t="s">
        <v>29</v>
      </c>
      <c r="B25" s="1">
        <v>3066</v>
      </c>
      <c r="C25" s="1">
        <v>16444</v>
      </c>
      <c r="D25" s="1">
        <v>51</v>
      </c>
      <c r="E25" s="1">
        <v>743</v>
      </c>
      <c r="F25" s="20">
        <f>SUM(B25:E25)</f>
        <v>20304</v>
      </c>
      <c r="G25" s="24">
        <f>F25/26571-1</f>
        <v>-0.23585864288133684</v>
      </c>
      <c r="H25" s="1">
        <v>1081</v>
      </c>
      <c r="I25" s="18"/>
      <c r="J25" s="18"/>
      <c r="K25" s="18"/>
      <c r="L25" s="18"/>
      <c r="M25" s="18"/>
      <c r="N25" s="18"/>
      <c r="O25" s="18"/>
    </row>
    <row r="26" spans="1:15" x14ac:dyDescent="0.2">
      <c r="A26" s="12" t="s">
        <v>23</v>
      </c>
      <c r="B26" s="1">
        <v>1670</v>
      </c>
      <c r="C26" s="1">
        <v>5039</v>
      </c>
      <c r="D26" s="1">
        <v>92</v>
      </c>
      <c r="E26" s="1">
        <v>4837</v>
      </c>
      <c r="F26" s="20">
        <f t="shared" ref="F26:F28" si="4">SUM(B26:E26)</f>
        <v>11638</v>
      </c>
      <c r="G26" s="24">
        <f>F26/11380-1</f>
        <v>2.2671353251318083E-2</v>
      </c>
      <c r="H26" s="1">
        <v>967</v>
      </c>
      <c r="I26" s="18"/>
      <c r="J26" s="18"/>
      <c r="K26" s="18"/>
      <c r="L26" s="18"/>
      <c r="M26" s="18"/>
      <c r="N26" s="18"/>
      <c r="O26" s="18"/>
    </row>
    <row r="27" spans="1:15" x14ac:dyDescent="0.2">
      <c r="A27" s="12" t="s">
        <v>28</v>
      </c>
      <c r="B27" s="1">
        <v>8544</v>
      </c>
      <c r="C27" s="1">
        <v>25249</v>
      </c>
      <c r="D27" s="1">
        <v>251</v>
      </c>
      <c r="E27" s="1">
        <v>0</v>
      </c>
      <c r="F27" s="20">
        <f t="shared" si="4"/>
        <v>34044</v>
      </c>
      <c r="G27" s="24">
        <f>F27/35311-1</f>
        <v>-3.5881170173600263E-2</v>
      </c>
      <c r="H27" s="1">
        <v>3771</v>
      </c>
      <c r="I27" s="18"/>
      <c r="J27" s="18"/>
      <c r="K27" s="18"/>
      <c r="L27" s="18"/>
      <c r="M27" s="18"/>
      <c r="N27" s="18"/>
      <c r="O27" s="18"/>
    </row>
    <row r="28" spans="1:15" x14ac:dyDescent="0.2">
      <c r="A28" s="17" t="s">
        <v>27</v>
      </c>
      <c r="B28" s="1">
        <v>4667</v>
      </c>
      <c r="C28" s="1">
        <v>22644</v>
      </c>
      <c r="D28" s="1">
        <v>2837</v>
      </c>
      <c r="E28" s="1">
        <v>118</v>
      </c>
      <c r="F28" s="20">
        <f t="shared" si="4"/>
        <v>30266</v>
      </c>
      <c r="G28" s="24">
        <f>F28/40931-1</f>
        <v>-0.26056045540055217</v>
      </c>
      <c r="H28" s="1">
        <v>4155</v>
      </c>
      <c r="I28" s="18"/>
      <c r="J28" s="18"/>
      <c r="K28" s="18"/>
      <c r="L28" s="18"/>
      <c r="M28" s="18"/>
      <c r="N28" s="18"/>
      <c r="O28" s="18"/>
    </row>
    <row r="29" spans="1:15" x14ac:dyDescent="0.2">
      <c r="A29" s="31"/>
      <c r="B29" s="31"/>
      <c r="C29" s="31"/>
      <c r="D29" s="31"/>
      <c r="E29" s="31"/>
      <c r="F29" s="31"/>
      <c r="G29" s="31"/>
      <c r="H29" s="31"/>
    </row>
    <row r="30" spans="1:15" s="5" customFormat="1" x14ac:dyDescent="0.2">
      <c r="A30" s="3" t="s">
        <v>14</v>
      </c>
      <c r="B30" s="3">
        <f>B9+B22+B26+B28+B27+B25</f>
        <v>66900</v>
      </c>
      <c r="C30" s="3">
        <f t="shared" ref="C30:H30" si="5">C9+C22+C26+C28+C27+C25</f>
        <v>250734</v>
      </c>
      <c r="D30" s="3">
        <f t="shared" si="5"/>
        <v>5824</v>
      </c>
      <c r="E30" s="3">
        <f t="shared" si="5"/>
        <v>40873</v>
      </c>
      <c r="F30" s="3">
        <f t="shared" si="5"/>
        <v>364331</v>
      </c>
      <c r="G30" s="4">
        <f>F30/386547-1</f>
        <v>-5.7472959303784488E-2</v>
      </c>
      <c r="H30" s="3">
        <f t="shared" si="5"/>
        <v>29301</v>
      </c>
      <c r="I30" s="18"/>
      <c r="J30" s="18"/>
      <c r="K30" s="18"/>
      <c r="L30" s="18"/>
      <c r="M30" s="18"/>
      <c r="N30" s="18"/>
      <c r="O30" s="18"/>
    </row>
    <row r="31" spans="1:15" x14ac:dyDescent="0.2">
      <c r="A31" s="12"/>
      <c r="B31" s="1"/>
      <c r="C31" s="1"/>
      <c r="D31" s="1"/>
      <c r="E31" s="1"/>
      <c r="F31" s="20"/>
      <c r="G31" s="24"/>
      <c r="H31" s="1"/>
      <c r="I31" s="18"/>
      <c r="J31" s="18"/>
      <c r="K31" s="18"/>
      <c r="L31" s="18"/>
      <c r="M31" s="18"/>
      <c r="N31" s="18"/>
      <c r="O31" s="18"/>
    </row>
    <row r="32" spans="1:15" x14ac:dyDescent="0.2">
      <c r="A32" s="12" t="s">
        <v>15</v>
      </c>
      <c r="B32" s="17"/>
      <c r="C32" s="17"/>
      <c r="D32" s="17">
        <v>24977</v>
      </c>
      <c r="E32" s="17"/>
      <c r="F32" s="20">
        <f>SUM(B32:E32)</f>
        <v>24977</v>
      </c>
      <c r="G32" s="24">
        <f>F32/25940-1</f>
        <v>-3.7124132613723937E-2</v>
      </c>
      <c r="H32" s="17"/>
      <c r="I32" s="18"/>
      <c r="J32" s="18"/>
      <c r="K32" s="18"/>
      <c r="L32" s="18"/>
      <c r="M32" s="18"/>
      <c r="N32" s="18"/>
      <c r="O32" s="18"/>
    </row>
    <row r="33" spans="1:15" x14ac:dyDescent="0.2">
      <c r="A33" s="12"/>
      <c r="B33" s="17"/>
      <c r="C33" s="17"/>
      <c r="D33" s="17"/>
      <c r="E33" s="17"/>
      <c r="F33" s="20"/>
      <c r="G33" s="24"/>
      <c r="H33" s="17"/>
      <c r="I33" s="18"/>
      <c r="J33" s="18"/>
      <c r="K33" s="18"/>
      <c r="L33" s="18"/>
      <c r="M33" s="18"/>
      <c r="N33" s="18"/>
      <c r="O33" s="18"/>
    </row>
    <row r="34" spans="1:15" x14ac:dyDescent="0.2">
      <c r="A34" s="12" t="s">
        <v>16</v>
      </c>
      <c r="B34" s="17">
        <v>6541</v>
      </c>
      <c r="C34" s="17">
        <v>19291</v>
      </c>
      <c r="D34" s="17">
        <v>652</v>
      </c>
      <c r="E34" s="17">
        <v>1364</v>
      </c>
      <c r="F34" s="20">
        <f t="shared" ref="F34:F42" si="6">SUM(B34:E34)</f>
        <v>27848</v>
      </c>
      <c r="G34" s="24">
        <f>F34/28732-1</f>
        <v>-3.0767088960044542E-2</v>
      </c>
      <c r="H34" s="17">
        <v>4383</v>
      </c>
      <c r="I34" s="18"/>
      <c r="J34" s="18"/>
      <c r="K34" s="18"/>
      <c r="L34" s="18"/>
      <c r="M34" s="18"/>
      <c r="N34" s="18"/>
      <c r="O34" s="18"/>
    </row>
    <row r="35" spans="1:15" x14ac:dyDescent="0.2">
      <c r="A35" s="12" t="s">
        <v>17</v>
      </c>
      <c r="B35" s="17"/>
      <c r="C35" s="17"/>
      <c r="D35" s="17">
        <v>27916</v>
      </c>
      <c r="E35" s="17" t="s">
        <v>40</v>
      </c>
      <c r="F35" s="20">
        <f t="shared" si="6"/>
        <v>27916</v>
      </c>
      <c r="G35" s="24">
        <f>F35/19639-1</f>
        <v>0.42145730434339823</v>
      </c>
      <c r="H35" s="17"/>
      <c r="I35" s="18"/>
      <c r="J35" s="18"/>
      <c r="K35" s="18"/>
      <c r="L35" s="18"/>
      <c r="M35" s="18"/>
      <c r="N35" s="18"/>
      <c r="O35" s="18"/>
    </row>
    <row r="36" spans="1:15" x14ac:dyDescent="0.2">
      <c r="A36" s="12"/>
      <c r="B36" s="17"/>
      <c r="C36" s="17"/>
      <c r="D36" s="17"/>
      <c r="E36" s="17"/>
      <c r="F36" s="20"/>
      <c r="G36" s="24"/>
      <c r="H36" s="17"/>
      <c r="I36" s="18"/>
      <c r="J36" s="18"/>
      <c r="K36" s="18"/>
      <c r="L36" s="18"/>
      <c r="M36" s="18"/>
      <c r="N36" s="18"/>
      <c r="O36" s="18"/>
    </row>
    <row r="37" spans="1:15" x14ac:dyDescent="0.2">
      <c r="A37" s="12" t="s">
        <v>18</v>
      </c>
      <c r="B37" s="17">
        <v>4728</v>
      </c>
      <c r="C37" s="17">
        <v>17868</v>
      </c>
      <c r="D37" s="17">
        <v>335</v>
      </c>
      <c r="E37" s="17">
        <v>832</v>
      </c>
      <c r="F37" s="20">
        <f t="shared" si="6"/>
        <v>23763</v>
      </c>
      <c r="G37" s="24">
        <f>F37/22312-1</f>
        <v>6.5032269630691975E-2</v>
      </c>
      <c r="H37" s="17">
        <v>3836</v>
      </c>
      <c r="I37" s="18"/>
      <c r="J37" s="18"/>
      <c r="K37" s="18"/>
      <c r="L37" s="18"/>
      <c r="M37" s="18"/>
      <c r="N37" s="18"/>
      <c r="O37" s="18"/>
    </row>
    <row r="38" spans="1:15" x14ac:dyDescent="0.2">
      <c r="A38" s="12" t="s">
        <v>19</v>
      </c>
      <c r="B38" s="17"/>
      <c r="C38" s="17"/>
      <c r="D38" s="17">
        <v>10697</v>
      </c>
      <c r="E38" s="17"/>
      <c r="F38" s="20">
        <f t="shared" si="6"/>
        <v>10697</v>
      </c>
      <c r="G38" s="24">
        <f>F38/7455-1</f>
        <v>0.43487592219986593</v>
      </c>
      <c r="H38" s="17"/>
      <c r="I38" s="18"/>
      <c r="J38" s="18"/>
      <c r="K38" s="18"/>
      <c r="L38" s="18"/>
      <c r="M38" s="18"/>
      <c r="N38" s="18"/>
      <c r="O38" s="18"/>
    </row>
    <row r="39" spans="1:15" x14ac:dyDescent="0.2">
      <c r="A39" s="12"/>
      <c r="B39" s="17"/>
      <c r="C39" s="17"/>
      <c r="D39" s="17"/>
      <c r="E39" s="17"/>
      <c r="F39" s="20"/>
      <c r="G39" s="24"/>
      <c r="H39" s="17"/>
      <c r="I39" s="18"/>
      <c r="J39" s="18"/>
      <c r="K39" s="18"/>
      <c r="L39" s="18"/>
      <c r="M39" s="18"/>
      <c r="N39" s="18"/>
      <c r="O39" s="18"/>
    </row>
    <row r="40" spans="1:15" x14ac:dyDescent="0.2">
      <c r="A40" s="12" t="s">
        <v>42</v>
      </c>
      <c r="B40" s="17"/>
      <c r="C40" s="17"/>
      <c r="D40" s="17">
        <v>19193</v>
      </c>
      <c r="E40" s="17"/>
      <c r="F40" s="20">
        <f>D40</f>
        <v>19193</v>
      </c>
      <c r="G40" s="42">
        <f>F40/16564-1</f>
        <v>0.15871770103839644</v>
      </c>
      <c r="H40" s="17"/>
      <c r="I40" s="18"/>
      <c r="J40" s="18"/>
      <c r="K40" s="18"/>
      <c r="L40" s="18"/>
      <c r="M40" s="18"/>
      <c r="N40" s="18"/>
      <c r="O40" s="18"/>
    </row>
    <row r="41" spans="1:15" x14ac:dyDescent="0.2">
      <c r="A41" s="12"/>
      <c r="B41" s="17"/>
      <c r="C41" s="17"/>
      <c r="D41" s="17"/>
      <c r="E41" s="17"/>
      <c r="F41" s="20"/>
      <c r="G41" s="24"/>
      <c r="H41" s="17"/>
      <c r="I41" s="18"/>
      <c r="J41" s="18"/>
      <c r="K41" s="18"/>
      <c r="L41" s="18"/>
      <c r="M41" s="18"/>
      <c r="N41" s="18"/>
      <c r="O41" s="18"/>
    </row>
    <row r="42" spans="1:15" x14ac:dyDescent="0.2">
      <c r="A42" s="12" t="s">
        <v>39</v>
      </c>
      <c r="B42" s="17">
        <v>5981</v>
      </c>
      <c r="C42" s="17">
        <v>15</v>
      </c>
      <c r="D42" s="17"/>
      <c r="E42" s="17"/>
      <c r="F42" s="20">
        <f t="shared" si="6"/>
        <v>5996</v>
      </c>
      <c r="G42" s="24">
        <f>F42/6492-1</f>
        <v>-7.6401725200246462E-2</v>
      </c>
      <c r="H42" s="17"/>
      <c r="I42" s="18"/>
      <c r="J42" s="18"/>
      <c r="K42" s="18"/>
      <c r="L42" s="18"/>
      <c r="M42" s="18"/>
      <c r="N42" s="18"/>
      <c r="O42" s="18"/>
    </row>
    <row r="43" spans="1:15" x14ac:dyDescent="0.2">
      <c r="A43" s="38"/>
      <c r="B43" s="39"/>
      <c r="C43" s="39"/>
      <c r="D43" s="39"/>
      <c r="E43" s="39"/>
      <c r="F43" s="40"/>
      <c r="G43" s="41"/>
      <c r="H43" s="39"/>
      <c r="I43" s="18"/>
      <c r="J43" s="18"/>
      <c r="K43" s="18"/>
      <c r="L43" s="18"/>
      <c r="M43" s="18"/>
      <c r="N43" s="18"/>
      <c r="O43" s="18"/>
    </row>
    <row r="44" spans="1:15" x14ac:dyDescent="0.2">
      <c r="I44" s="18"/>
      <c r="J44" s="18"/>
      <c r="K44" s="18"/>
      <c r="L44" s="18"/>
      <c r="M44" s="18"/>
      <c r="N44" s="18"/>
      <c r="O44" s="18"/>
    </row>
  </sheetData>
  <sheetProtection password="CC4F" sheet="1" objects="1" scenarios="1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STATISTICS&amp;C&amp;"Arial,Bold"&amp;14July-September 2012</oddHeader>
  </headerFooter>
  <ignoredErrors>
    <ignoredError sqref="G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43"/>
  <sheetViews>
    <sheetView view="pageLayout" topLeftCell="A13" zoomScaleNormal="100" workbookViewId="0">
      <selection activeCell="D40" sqref="D40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2" customWidth="1"/>
  </cols>
  <sheetData>
    <row r="1" spans="1:15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20</v>
      </c>
      <c r="G1" s="8" t="s">
        <v>46</v>
      </c>
      <c r="H1" s="8" t="s">
        <v>5</v>
      </c>
    </row>
    <row r="2" spans="1:15" s="29" customFormat="1" ht="12.75" customHeight="1" x14ac:dyDescent="0.25">
      <c r="A2" s="30" t="s">
        <v>34</v>
      </c>
      <c r="B2" s="8"/>
      <c r="C2" s="9"/>
      <c r="D2" s="8"/>
      <c r="E2" s="8"/>
      <c r="F2" s="28"/>
      <c r="G2" s="28"/>
      <c r="H2" s="8"/>
    </row>
    <row r="3" spans="1:15" x14ac:dyDescent="0.2">
      <c r="A3" s="12" t="s">
        <v>31</v>
      </c>
      <c r="B3" s="13">
        <v>43987</v>
      </c>
      <c r="C3" s="13">
        <v>155792</v>
      </c>
      <c r="D3" s="13">
        <v>0</v>
      </c>
      <c r="E3" s="13">
        <v>13912</v>
      </c>
      <c r="F3" s="19">
        <f>SUM(B3:E3)</f>
        <v>213691</v>
      </c>
      <c r="G3" s="22">
        <f>F3/225431-1</f>
        <v>-5.2078019438320355E-2</v>
      </c>
      <c r="H3" s="13">
        <v>21315</v>
      </c>
    </row>
    <row r="4" spans="1:15" x14ac:dyDescent="0.2">
      <c r="A4" s="14" t="s">
        <v>32</v>
      </c>
      <c r="B4" s="13">
        <v>954</v>
      </c>
      <c r="C4" s="13">
        <v>1673</v>
      </c>
      <c r="D4" s="13">
        <v>0</v>
      </c>
      <c r="E4" s="13">
        <v>3246</v>
      </c>
      <c r="F4" s="19">
        <f t="shared" ref="F4:F8" si="0">SUM(B4:E4)</f>
        <v>5873</v>
      </c>
      <c r="G4" s="22">
        <f>F4/5718-1</f>
        <v>2.710738020286807E-2</v>
      </c>
      <c r="H4" s="13">
        <v>328</v>
      </c>
    </row>
    <row r="5" spans="1:15" x14ac:dyDescent="0.2">
      <c r="A5" s="14" t="s">
        <v>21</v>
      </c>
      <c r="B5" s="13">
        <v>137</v>
      </c>
      <c r="C5" s="13">
        <v>635</v>
      </c>
      <c r="D5" s="13">
        <v>0</v>
      </c>
      <c r="E5" s="13">
        <v>1426</v>
      </c>
      <c r="F5" s="19">
        <f t="shared" si="0"/>
        <v>2198</v>
      </c>
      <c r="G5" s="22">
        <f>F5/2211-1</f>
        <v>-5.8796924468565992E-3</v>
      </c>
      <c r="H5" s="13">
        <v>32</v>
      </c>
    </row>
    <row r="6" spans="1:15" x14ac:dyDescent="0.2">
      <c r="A6" s="14" t="s">
        <v>6</v>
      </c>
      <c r="B6" s="13">
        <v>523</v>
      </c>
      <c r="C6" s="13">
        <v>0</v>
      </c>
      <c r="D6" s="13">
        <v>151</v>
      </c>
      <c r="E6" s="13">
        <v>3518</v>
      </c>
      <c r="F6" s="19">
        <f t="shared" si="0"/>
        <v>4192</v>
      </c>
      <c r="G6" s="22">
        <f>F6/6814-1</f>
        <v>-0.3847960082183739</v>
      </c>
      <c r="H6" s="13">
        <v>0</v>
      </c>
    </row>
    <row r="7" spans="1:15" x14ac:dyDescent="0.2">
      <c r="A7" s="12" t="s">
        <v>7</v>
      </c>
      <c r="B7" s="13">
        <v>4050</v>
      </c>
      <c r="C7" s="13">
        <v>3</v>
      </c>
      <c r="D7" s="13">
        <v>0</v>
      </c>
      <c r="E7" s="13">
        <v>4</v>
      </c>
      <c r="F7" s="19">
        <f t="shared" si="0"/>
        <v>4057</v>
      </c>
      <c r="G7" s="22">
        <f>F7/2679-1</f>
        <v>0.51437103396789841</v>
      </c>
      <c r="H7" s="13">
        <v>0</v>
      </c>
    </row>
    <row r="8" spans="1:15" x14ac:dyDescent="0.2">
      <c r="A8" s="14" t="s">
        <v>33</v>
      </c>
      <c r="B8" s="13">
        <v>8</v>
      </c>
      <c r="C8" s="13">
        <v>56</v>
      </c>
      <c r="D8" s="13">
        <v>0</v>
      </c>
      <c r="E8" s="13">
        <v>6903</v>
      </c>
      <c r="F8" s="19">
        <f t="shared" si="0"/>
        <v>6967</v>
      </c>
      <c r="G8" s="22">
        <f>F8/5998-1</f>
        <v>0.16155385128376132</v>
      </c>
      <c r="H8" s="13">
        <v>0</v>
      </c>
      <c r="I8" s="18"/>
      <c r="J8" s="18"/>
      <c r="K8" s="18"/>
      <c r="L8" s="18"/>
      <c r="M8" s="18"/>
      <c r="N8" s="18"/>
      <c r="O8" s="18"/>
    </row>
    <row r="9" spans="1:15" s="5" customFormat="1" x14ac:dyDescent="0.2">
      <c r="A9" s="11" t="s">
        <v>30</v>
      </c>
      <c r="B9" s="6">
        <f>SUM(B3:B8)</f>
        <v>49659</v>
      </c>
      <c r="C9" s="6">
        <f>SUM(C3:C8)</f>
        <v>158159</v>
      </c>
      <c r="D9" s="6">
        <f>SUM(D3:D8)</f>
        <v>151</v>
      </c>
      <c r="E9" s="6">
        <f>SUM(E3:E8)</f>
        <v>29009</v>
      </c>
      <c r="F9" s="27">
        <f t="shared" ref="F9" si="1">SUM(B9:E9)</f>
        <v>236978</v>
      </c>
      <c r="G9" s="23">
        <f>F9/249651-1</f>
        <v>-5.0762864959483456E-2</v>
      </c>
      <c r="H9" s="6">
        <f>SUM(H3:H8)</f>
        <v>21675</v>
      </c>
      <c r="I9" s="18"/>
      <c r="J9" s="18"/>
      <c r="K9" s="18"/>
      <c r="L9" s="18"/>
      <c r="M9" s="18"/>
      <c r="N9" s="18"/>
      <c r="O9" s="18"/>
    </row>
    <row r="10" spans="1:15" x14ac:dyDescent="0.2">
      <c r="A10" s="14"/>
      <c r="B10" s="12"/>
      <c r="C10" s="1"/>
      <c r="D10" s="12"/>
      <c r="E10" s="12"/>
      <c r="F10" s="1"/>
      <c r="G10" s="2"/>
      <c r="H10" s="12"/>
      <c r="I10" s="18"/>
      <c r="J10" s="18"/>
      <c r="K10" s="18"/>
      <c r="L10" s="18"/>
      <c r="M10" s="18"/>
      <c r="N10" s="18"/>
      <c r="O10" s="18"/>
    </row>
    <row r="11" spans="1:15" x14ac:dyDescent="0.2">
      <c r="A11" s="14" t="s">
        <v>35</v>
      </c>
      <c r="B11" s="12"/>
      <c r="C11" s="1"/>
      <c r="D11" s="12"/>
      <c r="E11" s="12"/>
      <c r="F11" s="1"/>
      <c r="G11" s="2"/>
      <c r="H11" s="12"/>
      <c r="I11" s="18"/>
      <c r="J11" s="18"/>
      <c r="K11" s="18"/>
      <c r="L11" s="18"/>
      <c r="M11" s="18"/>
      <c r="N11" s="18"/>
      <c r="O11" s="18"/>
    </row>
    <row r="12" spans="1:15" x14ac:dyDescent="0.2">
      <c r="A12" s="15" t="s">
        <v>8</v>
      </c>
      <c r="B12" s="1">
        <v>3835</v>
      </c>
      <c r="C12" s="1">
        <v>8807</v>
      </c>
      <c r="D12" s="1">
        <v>394</v>
      </c>
      <c r="E12" s="1">
        <v>2298</v>
      </c>
      <c r="F12" s="20">
        <f>SUM(B12:E12)</f>
        <v>15334</v>
      </c>
      <c r="G12" s="24">
        <f>F12/14589-1</f>
        <v>5.1065871547055997E-2</v>
      </c>
      <c r="H12" s="1">
        <v>1282</v>
      </c>
      <c r="I12" s="18"/>
      <c r="J12" s="18"/>
      <c r="K12" s="18"/>
      <c r="L12" s="18"/>
      <c r="M12" s="18"/>
      <c r="N12" s="18"/>
      <c r="O12" s="18"/>
    </row>
    <row r="13" spans="1:15" x14ac:dyDescent="0.2">
      <c r="A13" s="15" t="s">
        <v>37</v>
      </c>
      <c r="B13" s="1">
        <v>3567</v>
      </c>
      <c r="C13" s="1">
        <v>5667</v>
      </c>
      <c r="D13" s="1">
        <v>392</v>
      </c>
      <c r="E13" s="1">
        <v>1171</v>
      </c>
      <c r="F13" s="20">
        <f t="shared" ref="F13:F21" si="2">SUM(B13:E13)</f>
        <v>10797</v>
      </c>
      <c r="G13" s="24">
        <f>F13/9182-1</f>
        <v>0.17588760618601618</v>
      </c>
      <c r="H13" s="1">
        <v>987</v>
      </c>
      <c r="I13" s="18"/>
      <c r="J13" s="18"/>
      <c r="K13" s="18"/>
      <c r="L13" s="18"/>
      <c r="M13" s="18"/>
      <c r="N13" s="18"/>
      <c r="O13" s="18"/>
    </row>
    <row r="14" spans="1:15" x14ac:dyDescent="0.2">
      <c r="A14" s="15" t="s">
        <v>9</v>
      </c>
      <c r="B14" s="1">
        <v>2249</v>
      </c>
      <c r="C14" s="1">
        <v>2920</v>
      </c>
      <c r="D14" s="1">
        <v>70</v>
      </c>
      <c r="E14" s="1">
        <v>388</v>
      </c>
      <c r="F14" s="20">
        <f t="shared" si="2"/>
        <v>5627</v>
      </c>
      <c r="G14" s="24">
        <f>F14/6116-1</f>
        <v>-7.9954218443427094E-2</v>
      </c>
      <c r="H14" s="1">
        <v>534</v>
      </c>
      <c r="I14" s="18"/>
      <c r="J14" s="18"/>
      <c r="K14" s="18"/>
      <c r="L14" s="18"/>
      <c r="M14" s="18"/>
      <c r="N14" s="18"/>
      <c r="O14" s="18"/>
    </row>
    <row r="15" spans="1:15" x14ac:dyDescent="0.2">
      <c r="A15" s="15" t="s">
        <v>11</v>
      </c>
      <c r="B15" s="1">
        <v>3362</v>
      </c>
      <c r="C15" s="1">
        <v>6382</v>
      </c>
      <c r="D15" s="1">
        <v>634</v>
      </c>
      <c r="E15" s="1">
        <v>1088</v>
      </c>
      <c r="F15" s="20">
        <f t="shared" si="2"/>
        <v>11466</v>
      </c>
      <c r="G15" s="24">
        <f>F15/11302-1</f>
        <v>1.4510706069722268E-2</v>
      </c>
      <c r="H15" s="1">
        <v>931</v>
      </c>
      <c r="I15" s="18"/>
      <c r="J15" s="18"/>
      <c r="K15" s="18"/>
      <c r="L15" s="18"/>
      <c r="M15" s="18"/>
      <c r="N15" s="18"/>
      <c r="O15" s="18"/>
    </row>
    <row r="16" spans="1:15" x14ac:dyDescent="0.2">
      <c r="A16" s="14" t="s">
        <v>24</v>
      </c>
      <c r="B16" s="1">
        <v>5059</v>
      </c>
      <c r="C16" s="1">
        <v>2188</v>
      </c>
      <c r="D16" s="1">
        <v>2415</v>
      </c>
      <c r="E16" s="1">
        <v>190</v>
      </c>
      <c r="F16" s="20">
        <f t="shared" si="2"/>
        <v>9852</v>
      </c>
      <c r="G16" s="24">
        <f>F16/10658-1</f>
        <v>-7.5623944454869529E-2</v>
      </c>
      <c r="H16" s="1">
        <v>599</v>
      </c>
      <c r="I16" s="18"/>
      <c r="J16" s="18"/>
      <c r="K16" s="18"/>
      <c r="L16" s="18"/>
      <c r="M16" s="18"/>
      <c r="N16" s="18"/>
      <c r="O16" s="18"/>
    </row>
    <row r="17" spans="1:15" x14ac:dyDescent="0.2">
      <c r="A17" s="14" t="s">
        <v>12</v>
      </c>
      <c r="B17" s="1">
        <v>104</v>
      </c>
      <c r="C17" s="1">
        <v>3</v>
      </c>
      <c r="D17" s="1">
        <v>0</v>
      </c>
      <c r="E17" s="1">
        <v>0</v>
      </c>
      <c r="F17" s="20">
        <f t="shared" si="2"/>
        <v>107</v>
      </c>
      <c r="G17" s="24">
        <f>F17/156-1</f>
        <v>-0.3141025641025641</v>
      </c>
      <c r="H17" s="1">
        <v>0</v>
      </c>
      <c r="I17" s="18"/>
      <c r="J17" s="18"/>
      <c r="K17" s="18"/>
      <c r="L17" s="18"/>
      <c r="M17" s="18"/>
      <c r="N17" s="18"/>
      <c r="O17" s="18"/>
    </row>
    <row r="18" spans="1:15" x14ac:dyDescent="0.2">
      <c r="A18" s="14" t="s">
        <v>13</v>
      </c>
      <c r="B18" s="1">
        <v>1769</v>
      </c>
      <c r="C18" s="1">
        <v>4555</v>
      </c>
      <c r="D18" s="1">
        <v>240</v>
      </c>
      <c r="E18" s="1">
        <v>767</v>
      </c>
      <c r="F18" s="20">
        <f t="shared" si="2"/>
        <v>7331</v>
      </c>
      <c r="G18" s="24">
        <f>F18/8181-1</f>
        <v>-0.10389927881677052</v>
      </c>
      <c r="H18" s="1">
        <v>573</v>
      </c>
      <c r="I18" s="18"/>
      <c r="J18" s="18"/>
      <c r="K18" s="18"/>
      <c r="L18" s="18"/>
      <c r="M18" s="18"/>
      <c r="N18" s="18"/>
      <c r="O18" s="18"/>
    </row>
    <row r="19" spans="1:15" x14ac:dyDescent="0.2">
      <c r="A19" s="14" t="s">
        <v>10</v>
      </c>
      <c r="B19" s="1">
        <v>3674</v>
      </c>
      <c r="C19" s="1">
        <v>6131</v>
      </c>
      <c r="D19" s="1">
        <v>372</v>
      </c>
      <c r="E19" s="1">
        <v>730</v>
      </c>
      <c r="F19" s="20">
        <f t="shared" si="2"/>
        <v>10907</v>
      </c>
      <c r="G19" s="24">
        <f>F19/10969-1</f>
        <v>-5.6522928252347171E-3</v>
      </c>
      <c r="H19" s="1">
        <v>685</v>
      </c>
      <c r="I19" s="18"/>
      <c r="J19" s="18"/>
      <c r="K19" s="18"/>
      <c r="L19" s="18"/>
      <c r="M19" s="18"/>
      <c r="N19" s="18"/>
      <c r="O19" s="18"/>
    </row>
    <row r="20" spans="1:15" x14ac:dyDescent="0.2">
      <c r="A20" s="12" t="s">
        <v>22</v>
      </c>
      <c r="B20" s="1">
        <v>540</v>
      </c>
      <c r="C20" s="1">
        <v>242</v>
      </c>
      <c r="D20" s="1">
        <v>206</v>
      </c>
      <c r="E20" s="1">
        <v>3</v>
      </c>
      <c r="F20" s="20">
        <f t="shared" si="2"/>
        <v>991</v>
      </c>
      <c r="G20" s="24">
        <f>F20/1224-1</f>
        <v>-0.190359477124183</v>
      </c>
      <c r="H20" s="1">
        <v>14</v>
      </c>
      <c r="I20" s="18"/>
      <c r="J20" s="18"/>
      <c r="K20" s="18"/>
      <c r="L20" s="18"/>
      <c r="M20" s="18"/>
      <c r="N20" s="18"/>
      <c r="O20" s="18"/>
    </row>
    <row r="21" spans="1:15" x14ac:dyDescent="0.2">
      <c r="A21" s="12" t="s">
        <v>26</v>
      </c>
      <c r="B21" s="1">
        <v>583</v>
      </c>
      <c r="C21" s="1">
        <v>2499</v>
      </c>
      <c r="D21" s="1">
        <v>453</v>
      </c>
      <c r="E21" s="1">
        <v>206</v>
      </c>
      <c r="F21" s="20">
        <f t="shared" si="2"/>
        <v>3741</v>
      </c>
      <c r="G21" s="24">
        <f>F21/4206-1</f>
        <v>-0.11055634807417969</v>
      </c>
      <c r="H21" s="1">
        <v>211</v>
      </c>
      <c r="I21" s="18"/>
      <c r="J21" s="18"/>
      <c r="K21" s="18"/>
      <c r="L21" s="18"/>
      <c r="M21" s="18"/>
      <c r="N21" s="18"/>
      <c r="O21" s="18"/>
    </row>
    <row r="22" spans="1:15" s="5" customFormat="1" x14ac:dyDescent="0.2">
      <c r="A22" s="16" t="s">
        <v>25</v>
      </c>
      <c r="B22" s="3">
        <f>SUM(B12:B21)</f>
        <v>24742</v>
      </c>
      <c r="C22" s="3">
        <f>SUM(C12:C21)</f>
        <v>39394</v>
      </c>
      <c r="D22" s="3">
        <f>SUM(D12:D21)</f>
        <v>5176</v>
      </c>
      <c r="E22" s="3">
        <f>SUM(E12:E21)</f>
        <v>6841</v>
      </c>
      <c r="F22" s="3">
        <f t="shared" ref="F22" si="3">SUM(B22:E22)</f>
        <v>76153</v>
      </c>
      <c r="G22" s="21">
        <f>F22/76583-1</f>
        <v>-5.6148231330712672E-3</v>
      </c>
      <c r="H22" s="3">
        <f>SUM(H12:H21)</f>
        <v>5816</v>
      </c>
      <c r="I22" s="18"/>
      <c r="J22" s="18"/>
      <c r="K22" s="18"/>
      <c r="L22" s="18"/>
      <c r="M22" s="18"/>
      <c r="N22" s="18"/>
      <c r="O22" s="18"/>
    </row>
    <row r="23" spans="1:15" s="26" customFormat="1" x14ac:dyDescent="0.2">
      <c r="A23" s="25"/>
      <c r="B23" s="20"/>
      <c r="C23" s="20"/>
      <c r="D23" s="20"/>
      <c r="E23" s="20"/>
      <c r="F23" s="20"/>
      <c r="G23" s="24"/>
      <c r="H23" s="20"/>
      <c r="I23" s="18"/>
      <c r="J23" s="18"/>
      <c r="K23" s="18"/>
      <c r="L23" s="18"/>
      <c r="M23" s="18"/>
      <c r="N23" s="18"/>
      <c r="O23" s="18"/>
    </row>
    <row r="24" spans="1:15" s="26" customFormat="1" x14ac:dyDescent="0.2">
      <c r="A24" s="25" t="s">
        <v>36</v>
      </c>
      <c r="B24" s="20"/>
      <c r="C24" s="20"/>
      <c r="D24" s="20"/>
      <c r="E24" s="20"/>
      <c r="F24" s="20"/>
      <c r="G24" s="24"/>
      <c r="H24" s="20"/>
      <c r="I24" s="18"/>
      <c r="J24" s="18"/>
      <c r="K24" s="18"/>
      <c r="L24" s="18"/>
      <c r="M24" s="18"/>
      <c r="N24" s="18"/>
      <c r="O24" s="18"/>
    </row>
    <row r="25" spans="1:15" x14ac:dyDescent="0.2">
      <c r="A25" s="12" t="s">
        <v>29</v>
      </c>
      <c r="B25" s="1">
        <v>4170</v>
      </c>
      <c r="C25" s="1">
        <v>18427</v>
      </c>
      <c r="D25" s="1">
        <v>263</v>
      </c>
      <c r="E25" s="1">
        <v>842</v>
      </c>
      <c r="F25" s="20">
        <f>SUM(B25:E25)</f>
        <v>23702</v>
      </c>
      <c r="G25" s="24">
        <f>F25/25138-1</f>
        <v>-5.712467181159997E-2</v>
      </c>
      <c r="H25" s="1">
        <v>1802</v>
      </c>
      <c r="I25" s="18"/>
      <c r="J25" s="18"/>
      <c r="K25" s="18"/>
      <c r="L25" s="18"/>
      <c r="M25" s="18"/>
      <c r="N25" s="18"/>
      <c r="O25" s="18"/>
    </row>
    <row r="26" spans="1:15" x14ac:dyDescent="0.2">
      <c r="A26" s="12" t="s">
        <v>23</v>
      </c>
      <c r="B26" s="1">
        <v>1715</v>
      </c>
      <c r="C26" s="1">
        <v>5024</v>
      </c>
      <c r="D26" s="1">
        <v>196</v>
      </c>
      <c r="E26" s="1">
        <v>5592</v>
      </c>
      <c r="F26" s="20">
        <f t="shared" ref="F26:F28" si="4">SUM(B26:E26)</f>
        <v>12527</v>
      </c>
      <c r="G26" s="24">
        <f>F26/12749-1</f>
        <v>-1.7413130441603308E-2</v>
      </c>
      <c r="H26" s="1">
        <v>988</v>
      </c>
      <c r="I26" s="18"/>
      <c r="J26" s="18"/>
      <c r="K26" s="18"/>
      <c r="L26" s="18"/>
      <c r="M26" s="18"/>
      <c r="N26" s="18"/>
      <c r="O26" s="18"/>
    </row>
    <row r="27" spans="1:15" x14ac:dyDescent="0.2">
      <c r="A27" s="12" t="s">
        <v>28</v>
      </c>
      <c r="B27" s="1">
        <v>11135</v>
      </c>
      <c r="C27" s="1">
        <v>26986</v>
      </c>
      <c r="D27" s="1">
        <v>1173</v>
      </c>
      <c r="E27" s="1">
        <v>0</v>
      </c>
      <c r="F27" s="20">
        <f t="shared" si="4"/>
        <v>39294</v>
      </c>
      <c r="G27" s="24">
        <f>F27/43606-1</f>
        <v>-9.8885474475989499E-2</v>
      </c>
      <c r="H27" s="1">
        <v>4330</v>
      </c>
      <c r="I27" s="18"/>
      <c r="J27" s="18"/>
      <c r="K27" s="18"/>
      <c r="L27" s="18"/>
      <c r="M27" s="18"/>
      <c r="N27" s="18"/>
      <c r="O27" s="18"/>
    </row>
    <row r="28" spans="1:15" x14ac:dyDescent="0.2">
      <c r="A28" s="17" t="s">
        <v>27</v>
      </c>
      <c r="B28" s="1">
        <v>16431</v>
      </c>
      <c r="C28" s="1">
        <v>30968</v>
      </c>
      <c r="D28" s="1">
        <v>10119</v>
      </c>
      <c r="E28" s="1">
        <v>1221</v>
      </c>
      <c r="F28" s="20">
        <f t="shared" si="4"/>
        <v>58739</v>
      </c>
      <c r="G28" s="24">
        <f>F28/66972-1</f>
        <v>-0.12293197157020841</v>
      </c>
      <c r="H28" s="1">
        <v>4800</v>
      </c>
      <c r="I28" s="18"/>
      <c r="J28" s="18"/>
      <c r="K28" s="18"/>
      <c r="L28" s="18"/>
      <c r="M28" s="18"/>
      <c r="N28" s="18"/>
      <c r="O28" s="18"/>
    </row>
    <row r="29" spans="1:15" x14ac:dyDescent="0.2">
      <c r="A29" s="31"/>
      <c r="B29" s="31"/>
      <c r="C29" s="31"/>
      <c r="D29" s="31"/>
      <c r="E29" s="31"/>
      <c r="F29" s="20"/>
      <c r="G29" s="31"/>
      <c r="H29" s="31"/>
    </row>
    <row r="30" spans="1:15" s="5" customFormat="1" x14ac:dyDescent="0.2">
      <c r="A30" s="3" t="s">
        <v>14</v>
      </c>
      <c r="B30" s="3">
        <f>B9+B22+B26+B28+B27+B25</f>
        <v>107852</v>
      </c>
      <c r="C30" s="3">
        <f t="shared" ref="C30:H30" si="5">C9+C22+C26+C28+C27+C25</f>
        <v>278958</v>
      </c>
      <c r="D30" s="3">
        <f t="shared" si="5"/>
        <v>17078</v>
      </c>
      <c r="E30" s="3">
        <f t="shared" si="5"/>
        <v>43505</v>
      </c>
      <c r="F30" s="3">
        <f t="shared" si="5"/>
        <v>447393</v>
      </c>
      <c r="G30" s="4">
        <f>F30/474699-1</f>
        <v>-5.7522767058704516E-2</v>
      </c>
      <c r="H30" s="3">
        <f t="shared" si="5"/>
        <v>39411</v>
      </c>
      <c r="I30" s="18"/>
      <c r="J30" s="18"/>
      <c r="K30" s="18"/>
      <c r="L30" s="18"/>
      <c r="M30" s="18"/>
      <c r="N30" s="18"/>
      <c r="O30" s="18"/>
    </row>
    <row r="31" spans="1:15" x14ac:dyDescent="0.2">
      <c r="A31" s="12"/>
      <c r="B31" s="1"/>
      <c r="C31" s="1"/>
      <c r="D31" s="1"/>
      <c r="E31" s="1"/>
      <c r="F31" s="20"/>
      <c r="G31" s="24"/>
      <c r="H31" s="1"/>
      <c r="I31" s="18"/>
      <c r="J31" s="18"/>
      <c r="K31" s="18"/>
      <c r="L31" s="18"/>
      <c r="M31" s="18"/>
      <c r="N31" s="18"/>
      <c r="O31" s="18"/>
    </row>
    <row r="32" spans="1:15" x14ac:dyDescent="0.2">
      <c r="A32" s="12" t="s">
        <v>15</v>
      </c>
      <c r="B32" s="17"/>
      <c r="C32" s="17"/>
      <c r="D32" s="17">
        <v>98463</v>
      </c>
      <c r="E32" s="17"/>
      <c r="F32" s="20">
        <f>D32</f>
        <v>98463</v>
      </c>
      <c r="G32" s="24">
        <f>F32/142317-1</f>
        <v>-0.30814308901958309</v>
      </c>
      <c r="H32" s="17"/>
      <c r="I32" s="18"/>
      <c r="J32" s="18"/>
      <c r="K32" s="18"/>
      <c r="L32" s="18"/>
      <c r="M32" s="18"/>
      <c r="N32" s="18"/>
      <c r="O32" s="18"/>
    </row>
    <row r="33" spans="1:15" x14ac:dyDescent="0.2">
      <c r="A33" s="12"/>
      <c r="B33" s="17"/>
      <c r="C33" s="17"/>
      <c r="D33" s="17"/>
      <c r="E33" s="17"/>
      <c r="F33" s="20"/>
      <c r="G33" s="24"/>
      <c r="H33" s="17"/>
      <c r="I33" s="18"/>
      <c r="J33" s="18"/>
      <c r="K33" s="18"/>
      <c r="L33" s="18"/>
      <c r="M33" s="18"/>
      <c r="N33" s="18"/>
      <c r="O33" s="18"/>
    </row>
    <row r="34" spans="1:15" x14ac:dyDescent="0.2">
      <c r="A34" s="12" t="s">
        <v>16</v>
      </c>
      <c r="B34" s="17">
        <v>10730</v>
      </c>
      <c r="C34" s="17">
        <v>21089</v>
      </c>
      <c r="D34" s="17">
        <v>2182</v>
      </c>
      <c r="E34" s="17">
        <v>2079</v>
      </c>
      <c r="F34" s="20">
        <f>SUM(B34:E34)</f>
        <v>36080</v>
      </c>
      <c r="G34" s="24">
        <f>F34/36909-1</f>
        <v>-2.2460646454794175E-2</v>
      </c>
      <c r="H34" s="17">
        <v>5627</v>
      </c>
      <c r="I34" s="18"/>
      <c r="J34" s="18"/>
      <c r="K34" s="18"/>
      <c r="L34" s="18"/>
      <c r="M34" s="18"/>
      <c r="N34" s="18"/>
      <c r="O34" s="18"/>
    </row>
    <row r="35" spans="1:15" x14ac:dyDescent="0.2">
      <c r="A35" s="12" t="s">
        <v>17</v>
      </c>
      <c r="B35" s="17"/>
      <c r="C35" s="17"/>
      <c r="D35" s="17">
        <v>65777</v>
      </c>
      <c r="E35" s="17"/>
      <c r="F35" s="20">
        <f>D35</f>
        <v>65777</v>
      </c>
      <c r="G35" s="24">
        <f>F35/75954-1</f>
        <v>-0.13398899333807301</v>
      </c>
      <c r="H35" s="17"/>
      <c r="I35" s="18"/>
      <c r="J35" s="18"/>
      <c r="K35" s="18"/>
      <c r="L35" s="18"/>
      <c r="M35" s="18"/>
      <c r="N35" s="18"/>
      <c r="O35" s="18"/>
    </row>
    <row r="36" spans="1:15" x14ac:dyDescent="0.2">
      <c r="A36" s="12"/>
      <c r="B36" s="17"/>
      <c r="C36" s="17"/>
      <c r="D36" s="17"/>
      <c r="E36" s="17"/>
      <c r="F36" s="20"/>
      <c r="G36" s="24"/>
      <c r="H36" s="17"/>
      <c r="I36" s="18"/>
      <c r="J36" s="18"/>
      <c r="K36" s="18"/>
      <c r="L36" s="18"/>
      <c r="M36" s="18"/>
      <c r="N36" s="18"/>
      <c r="O36" s="18"/>
    </row>
    <row r="37" spans="1:15" x14ac:dyDescent="0.2">
      <c r="A37" s="12" t="s">
        <v>18</v>
      </c>
      <c r="B37" s="17">
        <v>7406</v>
      </c>
      <c r="C37" s="17">
        <v>19786</v>
      </c>
      <c r="D37" s="17">
        <v>677</v>
      </c>
      <c r="E37" s="17">
        <v>1293</v>
      </c>
      <c r="F37" s="20">
        <f>SUM(B37:E37)</f>
        <v>29162</v>
      </c>
      <c r="G37" s="24">
        <f>F37/29845-1</f>
        <v>-2.2884905344278783E-2</v>
      </c>
      <c r="H37" s="17">
        <v>5161</v>
      </c>
      <c r="I37" s="18"/>
      <c r="J37" s="18"/>
      <c r="K37" s="18"/>
      <c r="L37" s="18"/>
      <c r="M37" s="18"/>
      <c r="N37" s="18"/>
      <c r="O37" s="18"/>
    </row>
    <row r="38" spans="1:15" x14ac:dyDescent="0.2">
      <c r="A38" s="12" t="s">
        <v>19</v>
      </c>
      <c r="B38" s="17"/>
      <c r="C38" s="17"/>
      <c r="D38" s="17">
        <v>20213</v>
      </c>
      <c r="E38" s="17"/>
      <c r="F38" s="20">
        <f>D38</f>
        <v>20213</v>
      </c>
      <c r="G38" s="24">
        <f>F38/20114-1</f>
        <v>4.9219449139903393E-3</v>
      </c>
      <c r="H38" s="17"/>
      <c r="I38" s="18"/>
      <c r="J38" s="18"/>
      <c r="K38" s="18"/>
      <c r="L38" s="18"/>
      <c r="M38" s="18"/>
      <c r="N38" s="18"/>
      <c r="O38" s="18"/>
    </row>
    <row r="39" spans="1:15" x14ac:dyDescent="0.2">
      <c r="A39" s="12"/>
      <c r="B39" s="17"/>
      <c r="C39" s="17"/>
      <c r="D39" s="17"/>
      <c r="E39" s="17"/>
      <c r="F39" s="20"/>
      <c r="G39" s="24"/>
      <c r="H39" s="17"/>
      <c r="I39" s="18"/>
      <c r="J39" s="18"/>
      <c r="K39" s="18"/>
      <c r="L39" s="18"/>
      <c r="M39" s="18"/>
      <c r="N39" s="18"/>
      <c r="O39" s="18"/>
    </row>
    <row r="40" spans="1:15" x14ac:dyDescent="0.2">
      <c r="A40" s="12" t="s">
        <v>42</v>
      </c>
      <c r="C40" s="17"/>
      <c r="D40" s="17">
        <v>44339</v>
      </c>
      <c r="E40" s="17"/>
      <c r="F40" s="20">
        <f>D40</f>
        <v>44339</v>
      </c>
      <c r="G40" s="24">
        <f>F40/41649-1</f>
        <v>6.4587385051261714E-2</v>
      </c>
      <c r="H40" s="17"/>
      <c r="I40" s="18"/>
      <c r="J40" s="18"/>
      <c r="K40" s="18"/>
      <c r="L40" s="18"/>
      <c r="M40" s="18"/>
      <c r="N40" s="18"/>
      <c r="O40" s="18"/>
    </row>
    <row r="41" spans="1:15" x14ac:dyDescent="0.2">
      <c r="A41" s="12"/>
      <c r="B41" s="17"/>
      <c r="C41" s="17"/>
      <c r="D41" s="17"/>
      <c r="E41" s="17"/>
      <c r="F41" s="20"/>
      <c r="G41" s="24"/>
      <c r="H41" s="17"/>
      <c r="I41" s="18"/>
      <c r="J41" s="18"/>
      <c r="K41" s="18"/>
      <c r="L41" s="18"/>
      <c r="M41" s="18"/>
      <c r="N41" s="18"/>
      <c r="O41" s="18"/>
    </row>
    <row r="42" spans="1:15" x14ac:dyDescent="0.2">
      <c r="A42" s="12" t="s">
        <v>39</v>
      </c>
      <c r="B42" s="17">
        <v>9154</v>
      </c>
      <c r="C42" s="17">
        <v>14</v>
      </c>
      <c r="D42" s="17">
        <v>0</v>
      </c>
      <c r="E42" s="17">
        <v>4</v>
      </c>
      <c r="F42" s="20">
        <f>SUM(B42:E42)</f>
        <v>9172</v>
      </c>
      <c r="G42" s="42">
        <f>F42/9428-1</f>
        <v>-2.7153160797624087E-2</v>
      </c>
      <c r="H42" s="17">
        <v>0</v>
      </c>
      <c r="I42" s="47" t="s">
        <v>43</v>
      </c>
      <c r="J42" s="18"/>
      <c r="K42" s="18"/>
      <c r="L42" s="18"/>
      <c r="M42" s="18"/>
      <c r="N42" s="18"/>
      <c r="O42" s="18"/>
    </row>
    <row r="43" spans="1:15" x14ac:dyDescent="0.2">
      <c r="I43" s="18"/>
      <c r="J43" s="18"/>
      <c r="K43" s="18"/>
      <c r="L43" s="18"/>
      <c r="M43" s="18"/>
      <c r="N43" s="18"/>
      <c r="O43" s="18"/>
    </row>
  </sheetData>
  <phoneticPr fontId="4" type="noConversion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STATISTICS&amp;C&amp;"Arial,Bold"&amp;14October - December 2012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view="pageLayout" topLeftCell="A3" zoomScaleNormal="100" workbookViewId="0">
      <selection activeCell="D40" sqref="D40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2" customWidth="1"/>
  </cols>
  <sheetData>
    <row r="1" spans="1:15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20</v>
      </c>
      <c r="G1" s="8" t="s">
        <v>46</v>
      </c>
      <c r="H1" s="8" t="s">
        <v>5</v>
      </c>
    </row>
    <row r="2" spans="1:15" s="29" customFormat="1" ht="12.75" customHeight="1" x14ac:dyDescent="0.25">
      <c r="A2" s="30" t="s">
        <v>34</v>
      </c>
      <c r="B2" s="8"/>
      <c r="C2" s="9"/>
      <c r="D2" s="8"/>
      <c r="E2" s="8"/>
      <c r="F2" s="28"/>
      <c r="G2" s="28"/>
      <c r="H2" s="8"/>
    </row>
    <row r="3" spans="1:15" x14ac:dyDescent="0.2">
      <c r="A3" s="12" t="s">
        <v>31</v>
      </c>
      <c r="B3" s="13">
        <v>46300</v>
      </c>
      <c r="C3" s="13">
        <v>159572</v>
      </c>
      <c r="D3" s="13">
        <v>0</v>
      </c>
      <c r="E3" s="13">
        <v>15255</v>
      </c>
      <c r="F3" s="19">
        <f>SUM(B3:E3)</f>
        <v>221127</v>
      </c>
      <c r="G3" s="22">
        <f>F3/247656-1</f>
        <v>-0.10712036050004847</v>
      </c>
      <c r="H3" s="13">
        <v>23555</v>
      </c>
    </row>
    <row r="4" spans="1:15" x14ac:dyDescent="0.2">
      <c r="A4" s="14" t="s">
        <v>32</v>
      </c>
      <c r="B4" s="13">
        <v>935</v>
      </c>
      <c r="C4" s="13">
        <v>1752</v>
      </c>
      <c r="D4" s="13">
        <v>0</v>
      </c>
      <c r="E4" s="13">
        <v>3254</v>
      </c>
      <c r="F4" s="19">
        <f t="shared" ref="F4:F8" si="0">SUM(B4:E4)</f>
        <v>5941</v>
      </c>
      <c r="G4" s="22">
        <f>F4/5784-1</f>
        <v>2.7143845089903085E-2</v>
      </c>
      <c r="H4" s="13">
        <v>357</v>
      </c>
    </row>
    <row r="5" spans="1:15" x14ac:dyDescent="0.2">
      <c r="A5" s="14" t="s">
        <v>21</v>
      </c>
      <c r="B5" s="13">
        <v>135</v>
      </c>
      <c r="C5" s="13">
        <v>803</v>
      </c>
      <c r="D5" s="13">
        <v>0</v>
      </c>
      <c r="E5" s="13">
        <v>7397</v>
      </c>
      <c r="F5" s="19">
        <f t="shared" si="0"/>
        <v>8335</v>
      </c>
      <c r="G5" s="22">
        <f>F5/1877-1</f>
        <v>3.4405966968566863</v>
      </c>
      <c r="H5" s="13">
        <v>21</v>
      </c>
    </row>
    <row r="6" spans="1:15" x14ac:dyDescent="0.2">
      <c r="A6" s="14" t="s">
        <v>6</v>
      </c>
      <c r="B6" s="13">
        <v>292</v>
      </c>
      <c r="C6" s="13">
        <v>0</v>
      </c>
      <c r="D6" s="13">
        <v>99</v>
      </c>
      <c r="E6" s="13">
        <v>3823</v>
      </c>
      <c r="F6" s="19">
        <f t="shared" si="0"/>
        <v>4214</v>
      </c>
      <c r="G6" s="22">
        <f>F6/5892-1</f>
        <v>-0.28479293957909024</v>
      </c>
      <c r="H6" s="13">
        <v>0</v>
      </c>
    </row>
    <row r="7" spans="1:15" x14ac:dyDescent="0.2">
      <c r="A7" s="12" t="s">
        <v>7</v>
      </c>
      <c r="B7" s="13">
        <v>4194</v>
      </c>
      <c r="C7" s="13">
        <v>1</v>
      </c>
      <c r="D7" s="13">
        <v>0</v>
      </c>
      <c r="E7" s="13">
        <v>0</v>
      </c>
      <c r="F7" s="19">
        <f t="shared" si="0"/>
        <v>4195</v>
      </c>
      <c r="G7" s="22">
        <f>F7/2614-1</f>
        <v>0.60482019892884464</v>
      </c>
      <c r="H7" s="13">
        <v>0</v>
      </c>
    </row>
    <row r="8" spans="1:15" x14ac:dyDescent="0.2">
      <c r="A8" s="14" t="s">
        <v>33</v>
      </c>
      <c r="B8" s="13">
        <v>57</v>
      </c>
      <c r="C8" s="13">
        <v>4</v>
      </c>
      <c r="D8" s="13">
        <v>0</v>
      </c>
      <c r="E8" s="13">
        <v>5661</v>
      </c>
      <c r="F8" s="19">
        <f t="shared" si="0"/>
        <v>5722</v>
      </c>
      <c r="G8" s="22">
        <f>F8/4977-1</f>
        <v>0.14968856741008629</v>
      </c>
      <c r="H8" s="13">
        <v>0</v>
      </c>
      <c r="I8" s="18"/>
      <c r="J8" s="18"/>
      <c r="K8" s="18"/>
      <c r="L8" s="18"/>
      <c r="M8" s="18"/>
      <c r="N8" s="18"/>
      <c r="O8" s="18"/>
    </row>
    <row r="9" spans="1:15" s="5" customFormat="1" x14ac:dyDescent="0.2">
      <c r="A9" s="11" t="s">
        <v>30</v>
      </c>
      <c r="B9" s="6">
        <f>SUM(B3:B8)</f>
        <v>51913</v>
      </c>
      <c r="C9" s="6">
        <f t="shared" ref="C9:F9" si="1">SUM(C3:C8)</f>
        <v>162132</v>
      </c>
      <c r="D9" s="6">
        <f t="shared" si="1"/>
        <v>99</v>
      </c>
      <c r="E9" s="6">
        <f t="shared" si="1"/>
        <v>35390</v>
      </c>
      <c r="F9" s="6">
        <f t="shared" si="1"/>
        <v>249534</v>
      </c>
      <c r="G9" s="23">
        <f>F9/269685-1</f>
        <v>-7.4720507258468238E-2</v>
      </c>
      <c r="H9" s="6">
        <f>SUM(H3:H8)</f>
        <v>23933</v>
      </c>
      <c r="I9" s="18"/>
      <c r="J9" s="18"/>
      <c r="K9" s="18"/>
      <c r="L9" s="18"/>
      <c r="M9" s="18"/>
      <c r="N9" s="18"/>
      <c r="O9" s="18"/>
    </row>
    <row r="10" spans="1:15" x14ac:dyDescent="0.2">
      <c r="A10" s="14"/>
      <c r="B10" s="12"/>
      <c r="C10" s="1"/>
      <c r="D10" s="12"/>
      <c r="E10" s="12"/>
      <c r="F10" s="1"/>
      <c r="G10" s="2"/>
      <c r="H10" s="12"/>
      <c r="I10" s="18"/>
      <c r="J10" s="18"/>
      <c r="K10" s="18"/>
      <c r="L10" s="18"/>
      <c r="M10" s="18"/>
      <c r="N10" s="18"/>
      <c r="O10" s="18"/>
    </row>
    <row r="11" spans="1:15" x14ac:dyDescent="0.2">
      <c r="A11" s="14" t="s">
        <v>35</v>
      </c>
      <c r="B11" s="12"/>
      <c r="C11" s="1"/>
      <c r="D11" s="12"/>
      <c r="E11" s="12"/>
      <c r="F11" s="1"/>
      <c r="G11" s="2"/>
      <c r="H11" s="12"/>
      <c r="I11" s="18"/>
      <c r="J11" s="18"/>
      <c r="K11" s="18"/>
      <c r="L11" s="18"/>
      <c r="M11" s="18"/>
      <c r="N11" s="18"/>
      <c r="O11" s="18"/>
    </row>
    <row r="12" spans="1:15" x14ac:dyDescent="0.2">
      <c r="A12" s="15" t="s">
        <v>8</v>
      </c>
      <c r="B12" s="1">
        <v>3729</v>
      </c>
      <c r="C12" s="1">
        <v>9103</v>
      </c>
      <c r="D12" s="1">
        <v>531</v>
      </c>
      <c r="E12" s="1">
        <v>2006</v>
      </c>
      <c r="F12" s="20">
        <f>SUM(B12:E12)</f>
        <v>15369</v>
      </c>
      <c r="G12" s="24">
        <f>F12/15317-1</f>
        <v>3.3949206763725925E-3</v>
      </c>
      <c r="H12" s="1">
        <v>1391</v>
      </c>
      <c r="I12" s="18"/>
      <c r="J12" s="18"/>
      <c r="K12" s="18"/>
      <c r="L12" s="18"/>
      <c r="M12" s="18"/>
      <c r="N12" s="18"/>
      <c r="O12" s="18"/>
    </row>
    <row r="13" spans="1:15" x14ac:dyDescent="0.2">
      <c r="A13" s="15" t="s">
        <v>37</v>
      </c>
      <c r="B13" s="1">
        <v>3685</v>
      </c>
      <c r="C13" s="1">
        <v>4521</v>
      </c>
      <c r="D13" s="1">
        <v>527</v>
      </c>
      <c r="E13" s="1">
        <v>984</v>
      </c>
      <c r="F13" s="20">
        <f t="shared" ref="F13:F21" si="2">SUM(B13:E13)</f>
        <v>9717</v>
      </c>
      <c r="G13" s="24">
        <f>F13/10756-1</f>
        <v>-9.6597248047601392E-2</v>
      </c>
      <c r="H13" s="1">
        <v>1167</v>
      </c>
      <c r="I13" s="18"/>
      <c r="J13" s="18"/>
      <c r="K13" s="18"/>
      <c r="L13" s="18"/>
      <c r="M13" s="18"/>
      <c r="N13" s="18"/>
      <c r="O13" s="18"/>
    </row>
    <row r="14" spans="1:15" x14ac:dyDescent="0.2">
      <c r="A14" s="15" t="s">
        <v>9</v>
      </c>
      <c r="B14" s="1">
        <v>2339</v>
      </c>
      <c r="C14" s="1">
        <v>3040</v>
      </c>
      <c r="D14" s="1">
        <v>86</v>
      </c>
      <c r="E14" s="1">
        <v>343</v>
      </c>
      <c r="F14" s="20">
        <f t="shared" si="2"/>
        <v>5808</v>
      </c>
      <c r="G14" s="24">
        <f>F14/6177-1</f>
        <v>-5.9737736765420157E-2</v>
      </c>
      <c r="H14" s="1">
        <v>718</v>
      </c>
      <c r="I14" s="18"/>
      <c r="J14" s="18"/>
      <c r="K14" s="18"/>
      <c r="L14" s="18"/>
      <c r="M14" s="18"/>
      <c r="N14" s="18"/>
      <c r="O14" s="18"/>
    </row>
    <row r="15" spans="1:15" x14ac:dyDescent="0.2">
      <c r="A15" s="15" t="s">
        <v>11</v>
      </c>
      <c r="B15" s="1">
        <v>3648</v>
      </c>
      <c r="C15" s="1">
        <v>5906</v>
      </c>
      <c r="D15" s="1">
        <v>625</v>
      </c>
      <c r="E15" s="1">
        <v>967</v>
      </c>
      <c r="F15" s="20">
        <f t="shared" si="2"/>
        <v>11146</v>
      </c>
      <c r="G15" s="24">
        <f>F15/12177-1</f>
        <v>-8.4667816375133431E-2</v>
      </c>
      <c r="H15" s="1">
        <v>992</v>
      </c>
      <c r="I15" s="18"/>
      <c r="J15" s="18"/>
      <c r="K15" s="18"/>
      <c r="L15" s="18"/>
      <c r="M15" s="18"/>
      <c r="N15" s="18"/>
      <c r="O15" s="18"/>
    </row>
    <row r="16" spans="1:15" x14ac:dyDescent="0.2">
      <c r="A16" s="14" t="s">
        <v>24</v>
      </c>
      <c r="B16" s="1">
        <v>5246</v>
      </c>
      <c r="C16" s="1">
        <v>2219</v>
      </c>
      <c r="D16" s="1">
        <v>2901</v>
      </c>
      <c r="E16" s="1">
        <v>246</v>
      </c>
      <c r="F16" s="20">
        <f t="shared" si="2"/>
        <v>10612</v>
      </c>
      <c r="G16" s="24">
        <f>F16/9969-1</f>
        <v>6.4499949844518012E-2</v>
      </c>
      <c r="H16" s="1">
        <v>630</v>
      </c>
      <c r="I16" s="18"/>
      <c r="J16" s="18"/>
      <c r="K16" s="18"/>
      <c r="L16" s="18"/>
      <c r="M16" s="18"/>
      <c r="N16" s="18"/>
      <c r="O16" s="18"/>
    </row>
    <row r="17" spans="1:15" x14ac:dyDescent="0.2">
      <c r="A17" s="14" t="s">
        <v>12</v>
      </c>
      <c r="B17" s="1">
        <v>110</v>
      </c>
      <c r="C17" s="1">
        <v>0</v>
      </c>
      <c r="D17" s="1">
        <v>0</v>
      </c>
      <c r="E17" s="1">
        <v>50</v>
      </c>
      <c r="F17" s="20">
        <f t="shared" si="2"/>
        <v>160</v>
      </c>
      <c r="G17" s="24">
        <f>F17/191-1</f>
        <v>-0.16230366492146597</v>
      </c>
      <c r="H17" s="1">
        <v>0</v>
      </c>
      <c r="I17" s="18"/>
      <c r="J17" s="18"/>
      <c r="K17" s="18"/>
      <c r="L17" s="18"/>
      <c r="M17" s="18"/>
      <c r="N17" s="18"/>
      <c r="O17" s="18"/>
    </row>
    <row r="18" spans="1:15" x14ac:dyDescent="0.2">
      <c r="A18" s="14" t="s">
        <v>13</v>
      </c>
      <c r="B18" s="1">
        <v>1809</v>
      </c>
      <c r="C18" s="1">
        <v>4529</v>
      </c>
      <c r="D18" s="1">
        <v>339</v>
      </c>
      <c r="E18" s="1">
        <v>1218</v>
      </c>
      <c r="F18" s="20">
        <f t="shared" si="2"/>
        <v>7895</v>
      </c>
      <c r="G18" s="24">
        <f>F18/8027-1</f>
        <v>-1.6444499813130675E-2</v>
      </c>
      <c r="H18" s="1">
        <v>690</v>
      </c>
      <c r="I18" s="18"/>
      <c r="J18" s="18"/>
      <c r="K18" s="18"/>
      <c r="L18" s="18"/>
      <c r="M18" s="18"/>
      <c r="N18" s="18"/>
      <c r="O18" s="18"/>
    </row>
    <row r="19" spans="1:15" x14ac:dyDescent="0.2">
      <c r="A19" s="14" t="s">
        <v>10</v>
      </c>
      <c r="B19" s="1">
        <v>3911</v>
      </c>
      <c r="C19" s="1">
        <v>6579</v>
      </c>
      <c r="D19" s="1">
        <v>219</v>
      </c>
      <c r="E19" s="1">
        <v>753</v>
      </c>
      <c r="F19" s="20">
        <f t="shared" si="2"/>
        <v>11462</v>
      </c>
      <c r="G19" s="24">
        <f>F19/11867-1</f>
        <v>-3.4128254824302706E-2</v>
      </c>
      <c r="H19" s="1">
        <v>754</v>
      </c>
      <c r="I19" s="18"/>
      <c r="J19" s="18"/>
      <c r="K19" s="18"/>
      <c r="L19" s="18"/>
      <c r="M19" s="18"/>
      <c r="N19" s="18"/>
      <c r="O19" s="18"/>
    </row>
    <row r="20" spans="1:15" x14ac:dyDescent="0.2">
      <c r="A20" s="12" t="s">
        <v>22</v>
      </c>
      <c r="B20" s="1">
        <v>375</v>
      </c>
      <c r="C20" s="1">
        <v>338</v>
      </c>
      <c r="D20" s="1">
        <v>204</v>
      </c>
      <c r="E20" s="1">
        <v>0</v>
      </c>
      <c r="F20" s="20">
        <f t="shared" si="2"/>
        <v>917</v>
      </c>
      <c r="G20" s="24">
        <f>F20/1355-1</f>
        <v>-0.32324723247232467</v>
      </c>
      <c r="H20" s="1">
        <v>16</v>
      </c>
      <c r="I20" s="18"/>
      <c r="J20" s="18"/>
      <c r="K20" s="18"/>
      <c r="L20" s="18"/>
      <c r="M20" s="18"/>
      <c r="N20" s="18"/>
      <c r="O20" s="18"/>
    </row>
    <row r="21" spans="1:15" x14ac:dyDescent="0.2">
      <c r="A21" s="12" t="s">
        <v>26</v>
      </c>
      <c r="B21" s="1">
        <v>547</v>
      </c>
      <c r="C21" s="1">
        <v>2590</v>
      </c>
      <c r="D21" s="1">
        <v>524</v>
      </c>
      <c r="E21" s="1">
        <v>125</v>
      </c>
      <c r="F21" s="20">
        <f t="shared" si="2"/>
        <v>3786</v>
      </c>
      <c r="G21" s="24">
        <f>F21/4545-1</f>
        <v>-0.166996699669967</v>
      </c>
      <c r="H21" s="1">
        <v>199</v>
      </c>
      <c r="I21" s="18"/>
      <c r="J21" s="18"/>
      <c r="K21" s="18"/>
      <c r="L21" s="18"/>
      <c r="M21" s="18"/>
      <c r="N21" s="18"/>
      <c r="O21" s="18"/>
    </row>
    <row r="22" spans="1:15" s="5" customFormat="1" x14ac:dyDescent="0.2">
      <c r="A22" s="16" t="s">
        <v>25</v>
      </c>
      <c r="B22" s="3">
        <f>SUM(B12:B21)</f>
        <v>25399</v>
      </c>
      <c r="C22" s="3">
        <f>SUM(C12:C21)</f>
        <v>38825</v>
      </c>
      <c r="D22" s="3">
        <f>SUM(D12:D21)</f>
        <v>5956</v>
      </c>
      <c r="E22" s="3">
        <f>SUM(E12:E21)</f>
        <v>6692</v>
      </c>
      <c r="F22" s="3">
        <f>SUM(F12:F21)</f>
        <v>76872</v>
      </c>
      <c r="G22" s="21">
        <f>F22/80381-1</f>
        <v>-4.3654594991353712E-2</v>
      </c>
      <c r="H22" s="3">
        <f>SUM(H12:H21)</f>
        <v>6557</v>
      </c>
      <c r="I22" s="18"/>
      <c r="J22" s="18"/>
      <c r="K22" s="18"/>
      <c r="L22" s="18"/>
      <c r="M22" s="18"/>
      <c r="N22" s="18"/>
      <c r="O22" s="18"/>
    </row>
    <row r="23" spans="1:15" s="26" customFormat="1" x14ac:dyDescent="0.2">
      <c r="A23" s="25"/>
      <c r="B23" s="20"/>
      <c r="C23" s="20"/>
      <c r="D23" s="20"/>
      <c r="E23" s="20"/>
      <c r="F23" s="20"/>
      <c r="G23" s="24"/>
      <c r="H23" s="20"/>
      <c r="I23" s="18"/>
      <c r="J23" s="18"/>
      <c r="K23" s="18"/>
      <c r="L23" s="18"/>
      <c r="M23" s="18"/>
      <c r="N23" s="18"/>
      <c r="O23" s="18"/>
    </row>
    <row r="24" spans="1:15" s="26" customFormat="1" x14ac:dyDescent="0.2">
      <c r="A24" s="25" t="s">
        <v>36</v>
      </c>
      <c r="B24" s="20"/>
      <c r="C24" s="20"/>
      <c r="D24" s="20"/>
      <c r="E24" s="20"/>
      <c r="F24" s="20"/>
      <c r="G24" s="24"/>
      <c r="H24" s="20"/>
      <c r="I24" s="18"/>
      <c r="J24" s="18"/>
      <c r="K24" s="18"/>
      <c r="L24" s="18"/>
      <c r="M24" s="18"/>
      <c r="N24" s="18"/>
      <c r="O24" s="18"/>
    </row>
    <row r="25" spans="1:15" x14ac:dyDescent="0.2">
      <c r="A25" s="12" t="s">
        <v>29</v>
      </c>
      <c r="B25" s="1">
        <v>4370</v>
      </c>
      <c r="C25" s="1">
        <v>17054</v>
      </c>
      <c r="D25" s="1">
        <v>222</v>
      </c>
      <c r="E25" s="1">
        <v>817</v>
      </c>
      <c r="F25" s="20">
        <f>SUM(B25:E25)</f>
        <v>22463</v>
      </c>
      <c r="G25" s="24">
        <f>F25/26357-1</f>
        <v>-0.14774063816064043</v>
      </c>
      <c r="H25" s="1">
        <v>1925</v>
      </c>
      <c r="I25" s="18"/>
      <c r="J25" s="18"/>
      <c r="K25" s="18"/>
      <c r="L25" s="18"/>
      <c r="M25" s="18"/>
      <c r="N25" s="18"/>
      <c r="O25" s="18"/>
    </row>
    <row r="26" spans="1:15" x14ac:dyDescent="0.2">
      <c r="A26" s="12" t="s">
        <v>23</v>
      </c>
      <c r="B26" s="1">
        <v>1692</v>
      </c>
      <c r="C26" s="1">
        <v>4806</v>
      </c>
      <c r="D26" s="1">
        <v>233</v>
      </c>
      <c r="E26" s="1">
        <v>5412</v>
      </c>
      <c r="F26" s="20">
        <f t="shared" ref="F26:F28" si="3">SUM(B26:E26)</f>
        <v>12143</v>
      </c>
      <c r="G26" s="24">
        <f>F26/12023-1</f>
        <v>9.9808699991683625E-3</v>
      </c>
      <c r="H26" s="1">
        <v>1015</v>
      </c>
      <c r="I26" s="18"/>
      <c r="J26" s="18"/>
      <c r="K26" s="18"/>
      <c r="L26" s="18"/>
      <c r="M26" s="18"/>
      <c r="N26" s="18"/>
      <c r="O26" s="18"/>
    </row>
    <row r="27" spans="1:15" x14ac:dyDescent="0.2">
      <c r="A27" s="12" t="s">
        <v>28</v>
      </c>
      <c r="B27" s="1">
        <v>11048</v>
      </c>
      <c r="C27" s="1">
        <v>25631</v>
      </c>
      <c r="D27" s="1">
        <v>1353</v>
      </c>
      <c r="E27" s="1">
        <v>0</v>
      </c>
      <c r="F27" s="20">
        <f t="shared" si="3"/>
        <v>38032</v>
      </c>
      <c r="G27" s="24">
        <f>F27/45345-1</f>
        <v>-0.16127467195942224</v>
      </c>
      <c r="H27" s="1">
        <v>4759</v>
      </c>
      <c r="I27" s="18"/>
      <c r="J27" s="18"/>
      <c r="K27" s="18"/>
      <c r="L27" s="18"/>
      <c r="M27" s="18"/>
      <c r="N27" s="18"/>
      <c r="O27" s="18"/>
    </row>
    <row r="28" spans="1:15" x14ac:dyDescent="0.2">
      <c r="A28" s="17" t="s">
        <v>27</v>
      </c>
      <c r="B28" s="1">
        <v>11431</v>
      </c>
      <c r="C28" s="1">
        <v>24084</v>
      </c>
      <c r="D28" s="1">
        <v>12846</v>
      </c>
      <c r="E28" s="1">
        <v>1777</v>
      </c>
      <c r="F28" s="20">
        <f t="shared" si="3"/>
        <v>50138</v>
      </c>
      <c r="G28" s="24">
        <f>F28/70154-1</f>
        <v>-0.28531516378253552</v>
      </c>
      <c r="H28" s="1">
        <v>5402</v>
      </c>
      <c r="I28" s="18"/>
      <c r="J28" s="18"/>
      <c r="K28" s="18"/>
      <c r="L28" s="18"/>
      <c r="M28" s="18"/>
      <c r="N28" s="18"/>
      <c r="O28" s="18"/>
    </row>
    <row r="29" spans="1:15" x14ac:dyDescent="0.2">
      <c r="A29" s="31"/>
      <c r="B29" s="31"/>
      <c r="C29" s="31"/>
      <c r="D29" s="31"/>
      <c r="E29" s="31"/>
      <c r="F29" s="31"/>
      <c r="G29" s="31"/>
      <c r="H29" s="31"/>
    </row>
    <row r="30" spans="1:15" s="5" customFormat="1" x14ac:dyDescent="0.2">
      <c r="A30" s="3" t="s">
        <v>14</v>
      </c>
      <c r="B30" s="3">
        <f>B9+B22+B25+B26+B27+B28</f>
        <v>105853</v>
      </c>
      <c r="C30" s="3">
        <f t="shared" ref="C30:F30" si="4">C9+C22+C25+C26+C27+C28</f>
        <v>272532</v>
      </c>
      <c r="D30" s="3">
        <f t="shared" si="4"/>
        <v>20709</v>
      </c>
      <c r="E30" s="3">
        <f t="shared" si="4"/>
        <v>50088</v>
      </c>
      <c r="F30" s="3">
        <f t="shared" si="4"/>
        <v>449182</v>
      </c>
      <c r="G30" s="4">
        <f>F30/506945-1</f>
        <v>-0.1139433271853949</v>
      </c>
      <c r="H30" s="3">
        <f>H9+H22+H25+H26+H27+H28</f>
        <v>43591</v>
      </c>
      <c r="I30" s="18"/>
      <c r="J30" s="18"/>
      <c r="K30" s="18"/>
      <c r="L30" s="18"/>
      <c r="M30" s="18"/>
      <c r="N30" s="18"/>
      <c r="O30" s="18"/>
    </row>
    <row r="31" spans="1:15" x14ac:dyDescent="0.2">
      <c r="A31" s="12"/>
      <c r="B31" s="1"/>
      <c r="C31" s="1"/>
      <c r="D31" s="1"/>
      <c r="E31" s="1"/>
      <c r="F31" s="20"/>
      <c r="G31" s="24"/>
      <c r="H31" s="1"/>
      <c r="I31" s="18"/>
      <c r="J31" s="18"/>
      <c r="K31" s="18"/>
      <c r="L31" s="18"/>
      <c r="M31" s="18"/>
      <c r="N31" s="18"/>
      <c r="O31" s="18"/>
    </row>
    <row r="32" spans="1:15" x14ac:dyDescent="0.2">
      <c r="A32" s="12" t="s">
        <v>15</v>
      </c>
      <c r="B32" s="17"/>
      <c r="C32" s="17"/>
      <c r="D32" s="17">
        <v>108677</v>
      </c>
      <c r="E32" s="17"/>
      <c r="F32" s="20">
        <f>D32</f>
        <v>108677</v>
      </c>
      <c r="G32" s="24">
        <f>F32/144876-1</f>
        <v>-0.2498619509097435</v>
      </c>
      <c r="H32" s="17"/>
      <c r="I32" s="18"/>
      <c r="J32" s="18"/>
      <c r="K32" s="18"/>
      <c r="L32" s="18"/>
      <c r="M32" s="18"/>
      <c r="N32" s="18"/>
      <c r="O32" s="18"/>
    </row>
    <row r="33" spans="1:15" x14ac:dyDescent="0.2">
      <c r="A33" s="12"/>
      <c r="B33" s="17"/>
      <c r="C33" s="17"/>
      <c r="D33" s="17"/>
      <c r="E33" s="17"/>
      <c r="F33" s="20"/>
      <c r="G33" s="24"/>
      <c r="H33" s="17"/>
      <c r="I33" s="18"/>
      <c r="J33" s="18"/>
      <c r="K33" s="18"/>
      <c r="L33" s="18"/>
      <c r="M33" s="18"/>
      <c r="N33" s="18"/>
      <c r="O33" s="18"/>
    </row>
    <row r="34" spans="1:15" x14ac:dyDescent="0.2">
      <c r="A34" s="12" t="s">
        <v>16</v>
      </c>
      <c r="B34" s="17">
        <v>11163</v>
      </c>
      <c r="C34" s="17">
        <v>22586</v>
      </c>
      <c r="D34" s="17">
        <v>2526</v>
      </c>
      <c r="E34" s="17">
        <v>2284</v>
      </c>
      <c r="F34" s="20">
        <f>SUM(B34:E34)</f>
        <v>38559</v>
      </c>
      <c r="G34" s="24">
        <f>F34/40885-1</f>
        <v>-5.6891280420692136E-2</v>
      </c>
      <c r="H34" s="17">
        <v>6358</v>
      </c>
      <c r="I34" s="47" t="s">
        <v>44</v>
      </c>
      <c r="J34" s="18"/>
      <c r="K34" s="18"/>
      <c r="L34" s="18"/>
      <c r="M34" s="18"/>
      <c r="N34" s="18"/>
      <c r="O34" s="18"/>
    </row>
    <row r="35" spans="1:15" x14ac:dyDescent="0.2">
      <c r="A35" s="12" t="s">
        <v>17</v>
      </c>
      <c r="B35" s="17"/>
      <c r="C35" s="17"/>
      <c r="D35" s="17">
        <v>64227</v>
      </c>
      <c r="E35" s="17"/>
      <c r="F35" s="20">
        <f>D35</f>
        <v>64227</v>
      </c>
      <c r="G35" s="24">
        <f>F35/77331-1</f>
        <v>-0.16945338867983084</v>
      </c>
      <c r="H35" s="17"/>
      <c r="I35" s="18"/>
      <c r="J35" s="18"/>
      <c r="K35" s="18"/>
      <c r="L35" s="18"/>
      <c r="M35" s="18"/>
      <c r="N35" s="18"/>
      <c r="O35" s="18"/>
    </row>
    <row r="36" spans="1:15" x14ac:dyDescent="0.2">
      <c r="A36" s="12"/>
      <c r="B36" s="17"/>
      <c r="C36" s="17"/>
      <c r="D36" s="17"/>
      <c r="E36" s="17"/>
      <c r="F36" s="20"/>
      <c r="G36" s="24"/>
      <c r="H36" s="17"/>
      <c r="I36" s="18"/>
      <c r="J36" s="18"/>
      <c r="K36" s="18"/>
      <c r="L36" s="18"/>
      <c r="M36" s="18"/>
      <c r="N36" s="18"/>
      <c r="O36" s="18"/>
    </row>
    <row r="37" spans="1:15" x14ac:dyDescent="0.2">
      <c r="A37" s="12" t="s">
        <v>18</v>
      </c>
      <c r="B37" s="17">
        <v>7835</v>
      </c>
      <c r="C37" s="17">
        <v>19606</v>
      </c>
      <c r="D37" s="17">
        <v>526</v>
      </c>
      <c r="E37" s="17">
        <v>1592</v>
      </c>
      <c r="F37" s="20">
        <f>SUM(B37:E37)</f>
        <v>29559</v>
      </c>
      <c r="G37" s="24">
        <f>F37/31892-1</f>
        <v>-7.3153141853756432E-2</v>
      </c>
      <c r="H37" s="17">
        <v>5735</v>
      </c>
      <c r="I37" s="18"/>
      <c r="J37" s="18"/>
      <c r="K37" s="18"/>
      <c r="L37" s="18"/>
      <c r="M37" s="18"/>
      <c r="N37" s="18"/>
      <c r="O37" s="18"/>
    </row>
    <row r="38" spans="1:15" x14ac:dyDescent="0.2">
      <c r="A38" s="43" t="s">
        <v>19</v>
      </c>
      <c r="B38" s="44"/>
      <c r="C38" s="44"/>
      <c r="D38" s="44">
        <v>20927</v>
      </c>
      <c r="E38" s="44"/>
      <c r="F38" s="20">
        <f>D38</f>
        <v>20927</v>
      </c>
      <c r="G38" s="24">
        <f>F38/12026-1</f>
        <v>0.74014634957591885</v>
      </c>
      <c r="H38" s="44"/>
      <c r="I38" s="18"/>
      <c r="J38" s="18"/>
      <c r="K38" s="18"/>
      <c r="L38" s="18"/>
      <c r="M38" s="18"/>
      <c r="N38" s="18"/>
      <c r="O38" s="18"/>
    </row>
    <row r="39" spans="1:15" x14ac:dyDescent="0.2">
      <c r="A39" s="31"/>
      <c r="B39" s="31"/>
      <c r="C39" s="31"/>
      <c r="D39" s="31"/>
      <c r="E39" s="31"/>
      <c r="F39" s="20"/>
      <c r="G39" s="24"/>
      <c r="H39" s="31"/>
      <c r="I39" s="18"/>
      <c r="J39" s="18"/>
      <c r="K39" s="18"/>
      <c r="L39" s="18"/>
      <c r="M39" s="18"/>
      <c r="N39" s="18"/>
      <c r="O39" s="18"/>
    </row>
    <row r="40" spans="1:15" x14ac:dyDescent="0.2">
      <c r="A40" s="45" t="s">
        <v>42</v>
      </c>
      <c r="B40" s="31"/>
      <c r="C40" s="31"/>
      <c r="D40" s="31">
        <v>53761</v>
      </c>
      <c r="E40" s="31"/>
      <c r="F40" s="20">
        <f>D40</f>
        <v>53761</v>
      </c>
      <c r="G40" s="24">
        <f>F40/134593-1</f>
        <v>-0.6005661512857281</v>
      </c>
      <c r="H40" s="31"/>
      <c r="I40" s="18"/>
      <c r="J40" s="18"/>
      <c r="K40" s="18"/>
      <c r="L40" s="18"/>
      <c r="M40" s="18"/>
      <c r="N40" s="18"/>
      <c r="O40" s="18"/>
    </row>
    <row r="41" spans="1:15" x14ac:dyDescent="0.2">
      <c r="A41" s="31"/>
      <c r="B41" s="31"/>
      <c r="C41" s="31"/>
      <c r="D41" s="31"/>
      <c r="E41" s="31"/>
      <c r="F41" s="20"/>
      <c r="G41" s="24"/>
      <c r="H41" s="31"/>
      <c r="I41" s="18"/>
      <c r="J41" s="18"/>
      <c r="K41" s="18"/>
      <c r="L41" s="18"/>
      <c r="M41" s="18"/>
      <c r="N41" s="18"/>
      <c r="O41" s="18"/>
    </row>
    <row r="42" spans="1:15" x14ac:dyDescent="0.2">
      <c r="A42" s="45" t="s">
        <v>39</v>
      </c>
      <c r="B42" s="31">
        <v>10375</v>
      </c>
      <c r="C42" s="31">
        <v>33</v>
      </c>
      <c r="D42" s="31">
        <v>0</v>
      </c>
      <c r="E42" s="31">
        <v>0</v>
      </c>
      <c r="F42" s="20">
        <f>B42+C42</f>
        <v>10408</v>
      </c>
      <c r="G42" s="24">
        <f>F42/11019-1</f>
        <v>-5.5449677829204069E-2</v>
      </c>
      <c r="H42" s="31">
        <v>0</v>
      </c>
    </row>
  </sheetData>
  <sheetProtection password="CC4F" sheet="1" objects="1" scenarios="1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STATISTICS&amp;C&amp;"Arial,Bold"&amp;14January - March 2013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view="pageLayout" zoomScaleNormal="100" workbookViewId="0">
      <selection activeCell="F21" sqref="F21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2" customWidth="1"/>
  </cols>
  <sheetData>
    <row r="1" spans="1:15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20</v>
      </c>
      <c r="G1" s="8" t="s">
        <v>45</v>
      </c>
      <c r="H1" s="8" t="s">
        <v>5</v>
      </c>
    </row>
    <row r="2" spans="1:15" s="29" customFormat="1" ht="12.75" customHeight="1" x14ac:dyDescent="0.25">
      <c r="A2" s="30" t="s">
        <v>34</v>
      </c>
      <c r="B2" s="8"/>
      <c r="C2" s="9"/>
      <c r="D2" s="8"/>
      <c r="E2" s="8"/>
      <c r="F2" s="28"/>
      <c r="G2" s="28"/>
      <c r="H2" s="8"/>
    </row>
    <row r="3" spans="1:15" x14ac:dyDescent="0.2">
      <c r="A3" s="12" t="s">
        <v>31</v>
      </c>
      <c r="B3" s="13">
        <v>39755</v>
      </c>
      <c r="C3" s="13">
        <v>153032</v>
      </c>
      <c r="D3" s="13">
        <v>0</v>
      </c>
      <c r="E3" s="13">
        <v>13372</v>
      </c>
      <c r="F3" s="19">
        <f>SUM(B3:E3)</f>
        <v>206159</v>
      </c>
      <c r="G3" s="22">
        <f>F3/228839-1</f>
        <v>-9.9108980549644121E-2</v>
      </c>
      <c r="H3" s="13">
        <v>18375</v>
      </c>
    </row>
    <row r="4" spans="1:15" x14ac:dyDescent="0.2">
      <c r="A4" s="14" t="s">
        <v>32</v>
      </c>
      <c r="B4" s="13">
        <v>967</v>
      </c>
      <c r="C4" s="13">
        <v>1728</v>
      </c>
      <c r="D4" s="13">
        <v>0</v>
      </c>
      <c r="E4" s="13">
        <v>2572</v>
      </c>
      <c r="F4" s="19">
        <f t="shared" ref="F4:F8" si="0">SUM(B4:E4)</f>
        <v>5267</v>
      </c>
      <c r="G4" s="22">
        <f>F4/5733-1</f>
        <v>-8.128379556950982E-2</v>
      </c>
      <c r="H4" s="13">
        <v>343</v>
      </c>
    </row>
    <row r="5" spans="1:15" x14ac:dyDescent="0.2">
      <c r="A5" s="14" t="s">
        <v>21</v>
      </c>
      <c r="B5" s="13">
        <v>79</v>
      </c>
      <c r="C5" s="13">
        <v>591</v>
      </c>
      <c r="D5" s="13">
        <v>0</v>
      </c>
      <c r="E5" s="13">
        <v>1254</v>
      </c>
      <c r="F5" s="19">
        <f t="shared" si="0"/>
        <v>1924</v>
      </c>
      <c r="G5" s="22">
        <f>F5/2110-1</f>
        <v>-8.8151658767772534E-2</v>
      </c>
      <c r="H5" s="13">
        <v>13</v>
      </c>
    </row>
    <row r="6" spans="1:15" x14ac:dyDescent="0.2">
      <c r="A6" s="14" t="s">
        <v>6</v>
      </c>
      <c r="B6" s="13">
        <v>410</v>
      </c>
      <c r="C6" s="13">
        <v>0</v>
      </c>
      <c r="D6" s="13">
        <v>72</v>
      </c>
      <c r="E6" s="13">
        <v>3627</v>
      </c>
      <c r="F6" s="19">
        <f t="shared" si="0"/>
        <v>4109</v>
      </c>
      <c r="G6" s="22">
        <f>F6/4598-1</f>
        <v>-0.10635058721183122</v>
      </c>
      <c r="H6" s="13">
        <v>0</v>
      </c>
    </row>
    <row r="7" spans="1:15" x14ac:dyDescent="0.2">
      <c r="A7" s="12" t="s">
        <v>7</v>
      </c>
      <c r="B7" s="13">
        <v>3824</v>
      </c>
      <c r="C7" s="13">
        <v>7</v>
      </c>
      <c r="D7" s="13">
        <v>0</v>
      </c>
      <c r="E7" s="13">
        <v>0</v>
      </c>
      <c r="F7" s="19">
        <f t="shared" si="0"/>
        <v>3831</v>
      </c>
      <c r="G7" s="22">
        <f>F7/2283-1</f>
        <v>0.67805519053876484</v>
      </c>
      <c r="H7" s="13">
        <v>0</v>
      </c>
    </row>
    <row r="8" spans="1:15" x14ac:dyDescent="0.2">
      <c r="A8" s="14" t="s">
        <v>33</v>
      </c>
      <c r="B8" s="13">
        <v>60</v>
      </c>
      <c r="C8" s="13">
        <v>3</v>
      </c>
      <c r="D8" s="13">
        <v>0</v>
      </c>
      <c r="E8" s="13">
        <v>6361</v>
      </c>
      <c r="F8" s="19">
        <f t="shared" si="0"/>
        <v>6424</v>
      </c>
      <c r="G8" s="22">
        <f>F8/6899-1</f>
        <v>-6.8850558051891553E-2</v>
      </c>
      <c r="H8" s="13">
        <v>0</v>
      </c>
      <c r="I8" s="18"/>
      <c r="J8" s="18"/>
      <c r="K8" s="18"/>
      <c r="L8" s="18"/>
      <c r="M8" s="18"/>
      <c r="N8" s="18"/>
      <c r="O8" s="18"/>
    </row>
    <row r="9" spans="1:15" s="5" customFormat="1" x14ac:dyDescent="0.2">
      <c r="A9" s="11" t="s">
        <v>30</v>
      </c>
      <c r="B9" s="6">
        <f>SUM(B3:B8)</f>
        <v>45095</v>
      </c>
      <c r="C9" s="6">
        <f t="shared" ref="C9:E9" si="1">SUM(C3:C8)</f>
        <v>155361</v>
      </c>
      <c r="D9" s="6">
        <f t="shared" si="1"/>
        <v>72</v>
      </c>
      <c r="E9" s="6">
        <f t="shared" si="1"/>
        <v>27186</v>
      </c>
      <c r="F9" s="27">
        <f>SUM(B9:E9)</f>
        <v>227714</v>
      </c>
      <c r="G9" s="23">
        <f>F9/251198-1</f>
        <v>-9.3488005477750602E-2</v>
      </c>
      <c r="H9" s="6">
        <f>SUM(H3:H8)</f>
        <v>18731</v>
      </c>
      <c r="I9" s="18"/>
      <c r="J9" s="18"/>
      <c r="K9" s="18"/>
      <c r="L9" s="18"/>
      <c r="M9" s="18"/>
      <c r="N9" s="18"/>
      <c r="O9" s="18"/>
    </row>
    <row r="10" spans="1:15" x14ac:dyDescent="0.2">
      <c r="A10" s="14"/>
      <c r="B10" s="12"/>
      <c r="C10" s="1"/>
      <c r="D10" s="12"/>
      <c r="E10" s="12"/>
      <c r="F10" s="19"/>
      <c r="G10" s="2"/>
      <c r="H10" s="12"/>
      <c r="I10" s="18"/>
      <c r="J10" s="18"/>
      <c r="K10" s="18"/>
      <c r="L10" s="18"/>
      <c r="M10" s="18"/>
      <c r="N10" s="18"/>
      <c r="O10" s="18"/>
    </row>
    <row r="11" spans="1:15" x14ac:dyDescent="0.2">
      <c r="A11" s="14" t="s">
        <v>35</v>
      </c>
      <c r="B11" s="12"/>
      <c r="C11" s="1"/>
      <c r="D11" s="12"/>
      <c r="E11" s="12"/>
      <c r="F11" s="19"/>
      <c r="G11" s="2"/>
      <c r="H11" s="12"/>
      <c r="I11" s="18"/>
      <c r="J11" s="18"/>
      <c r="K11" s="18"/>
      <c r="L11" s="18"/>
      <c r="M11" s="18"/>
      <c r="N11" s="18"/>
      <c r="O11" s="18"/>
    </row>
    <row r="12" spans="1:15" x14ac:dyDescent="0.2">
      <c r="A12" s="15" t="s">
        <v>8</v>
      </c>
      <c r="B12" s="1">
        <v>3117</v>
      </c>
      <c r="C12" s="1">
        <v>9018</v>
      </c>
      <c r="D12" s="1">
        <v>322</v>
      </c>
      <c r="E12" s="1">
        <v>219</v>
      </c>
      <c r="F12" s="19">
        <f>SUM(B12:E12)</f>
        <v>12676</v>
      </c>
      <c r="G12" s="24">
        <f>F12/14136-1</f>
        <v>-0.10328239954725527</v>
      </c>
      <c r="H12" s="1">
        <v>1035</v>
      </c>
      <c r="I12" s="18"/>
      <c r="J12" s="18"/>
      <c r="K12" s="18"/>
      <c r="L12" s="18"/>
      <c r="M12" s="18"/>
      <c r="N12" s="18"/>
      <c r="O12" s="18"/>
    </row>
    <row r="13" spans="1:15" x14ac:dyDescent="0.2">
      <c r="A13" s="15" t="s">
        <v>37</v>
      </c>
      <c r="B13" s="1">
        <v>3478</v>
      </c>
      <c r="C13" s="1">
        <v>4188</v>
      </c>
      <c r="D13" s="1">
        <v>245</v>
      </c>
      <c r="E13" s="1">
        <v>1152</v>
      </c>
      <c r="F13" s="19">
        <f t="shared" ref="F13:F21" si="2">SUM(B13:E13)</f>
        <v>9063</v>
      </c>
      <c r="G13" s="24">
        <f>F13/9950-1</f>
        <v>-8.9145728643216127E-2</v>
      </c>
      <c r="H13" s="1">
        <v>988</v>
      </c>
      <c r="I13" s="18"/>
      <c r="J13" s="18"/>
      <c r="K13" s="18"/>
      <c r="L13" s="18"/>
      <c r="M13" s="18"/>
      <c r="N13" s="18"/>
      <c r="O13" s="18"/>
    </row>
    <row r="14" spans="1:15" x14ac:dyDescent="0.2">
      <c r="A14" s="15" t="s">
        <v>9</v>
      </c>
      <c r="B14" s="1">
        <v>1563</v>
      </c>
      <c r="C14" s="1">
        <v>2755</v>
      </c>
      <c r="D14" s="1">
        <v>46</v>
      </c>
      <c r="E14" s="1">
        <v>178</v>
      </c>
      <c r="F14" s="19">
        <f t="shared" si="2"/>
        <v>4542</v>
      </c>
      <c r="G14" s="24">
        <f>F14/5487-1</f>
        <v>-0.17222525970475666</v>
      </c>
      <c r="H14" s="1">
        <v>529</v>
      </c>
      <c r="I14" s="18"/>
      <c r="J14" s="18"/>
      <c r="K14" s="18"/>
      <c r="L14" s="18"/>
      <c r="M14" s="18"/>
      <c r="N14" s="18"/>
      <c r="O14" s="18"/>
    </row>
    <row r="15" spans="1:15" x14ac:dyDescent="0.2">
      <c r="A15" s="15" t="s">
        <v>11</v>
      </c>
      <c r="B15" s="1">
        <v>3145</v>
      </c>
      <c r="C15" s="1">
        <v>5704</v>
      </c>
      <c r="D15" s="1">
        <v>603</v>
      </c>
      <c r="E15" s="1">
        <v>768</v>
      </c>
      <c r="F15" s="19">
        <f t="shared" si="2"/>
        <v>10220</v>
      </c>
      <c r="G15" s="24">
        <f>F15/11961-1</f>
        <v>-0.14555639160605305</v>
      </c>
      <c r="H15" s="1">
        <v>730</v>
      </c>
      <c r="I15" s="18"/>
      <c r="J15" s="18"/>
      <c r="K15" s="18"/>
      <c r="L15" s="18"/>
      <c r="M15" s="18"/>
      <c r="N15" s="18"/>
      <c r="O15" s="18"/>
    </row>
    <row r="16" spans="1:15" x14ac:dyDescent="0.2">
      <c r="A16" s="14" t="s">
        <v>24</v>
      </c>
      <c r="B16" s="1">
        <v>4652</v>
      </c>
      <c r="C16" s="1">
        <v>2264</v>
      </c>
      <c r="D16" s="1">
        <v>2873</v>
      </c>
      <c r="E16" s="1">
        <v>107</v>
      </c>
      <c r="F16" s="19">
        <f t="shared" si="2"/>
        <v>9896</v>
      </c>
      <c r="G16" s="24">
        <f>F16/9065-1</f>
        <v>9.1671263099834421E-2</v>
      </c>
      <c r="H16" s="1">
        <v>462</v>
      </c>
      <c r="I16" s="18"/>
      <c r="J16" s="18"/>
      <c r="K16" s="18"/>
      <c r="L16" s="18"/>
      <c r="M16" s="18"/>
      <c r="N16" s="18"/>
      <c r="O16" s="18"/>
    </row>
    <row r="17" spans="1:15" x14ac:dyDescent="0.2">
      <c r="A17" s="14" t="s">
        <v>12</v>
      </c>
      <c r="B17" s="1">
        <v>250</v>
      </c>
      <c r="C17" s="1">
        <v>0</v>
      </c>
      <c r="D17" s="1">
        <v>0</v>
      </c>
      <c r="E17" s="1">
        <v>61</v>
      </c>
      <c r="F17" s="19">
        <f t="shared" si="2"/>
        <v>311</v>
      </c>
      <c r="G17" s="24">
        <f>F17/249-1</f>
        <v>0.24899598393574296</v>
      </c>
      <c r="H17" s="1">
        <v>0</v>
      </c>
      <c r="I17" s="18"/>
      <c r="J17" s="18"/>
      <c r="K17" s="18"/>
      <c r="L17" s="18"/>
      <c r="M17" s="18"/>
      <c r="N17" s="18"/>
      <c r="O17" s="18"/>
    </row>
    <row r="18" spans="1:15" x14ac:dyDescent="0.2">
      <c r="A18" s="14" t="s">
        <v>13</v>
      </c>
      <c r="B18" s="1">
        <v>1680</v>
      </c>
      <c r="C18" s="1">
        <v>4123</v>
      </c>
      <c r="D18" s="1">
        <v>1989</v>
      </c>
      <c r="E18" s="1">
        <v>717</v>
      </c>
      <c r="F18" s="19">
        <f t="shared" si="2"/>
        <v>8509</v>
      </c>
      <c r="G18" s="24">
        <f>F18/8084-1</f>
        <v>5.2572983671449691E-2</v>
      </c>
      <c r="H18" s="1">
        <v>495</v>
      </c>
      <c r="I18" s="18"/>
      <c r="J18" s="18"/>
      <c r="K18" s="18"/>
      <c r="L18" s="18"/>
      <c r="M18" s="18"/>
      <c r="N18" s="18"/>
      <c r="O18" s="18"/>
    </row>
    <row r="19" spans="1:15" x14ac:dyDescent="0.2">
      <c r="A19" s="14" t="s">
        <v>10</v>
      </c>
      <c r="B19" s="1">
        <v>3053</v>
      </c>
      <c r="C19" s="1">
        <v>5398</v>
      </c>
      <c r="D19" s="1">
        <v>219</v>
      </c>
      <c r="E19" s="1">
        <v>694</v>
      </c>
      <c r="F19" s="19">
        <f t="shared" si="2"/>
        <v>9364</v>
      </c>
      <c r="G19" s="24">
        <f>F19/11646-1</f>
        <v>-0.19594710630259315</v>
      </c>
      <c r="H19" s="1">
        <v>563</v>
      </c>
      <c r="I19" s="18"/>
      <c r="J19" s="18"/>
      <c r="K19" s="18"/>
      <c r="L19" s="18"/>
      <c r="M19" s="18"/>
      <c r="N19" s="18"/>
      <c r="O19" s="18"/>
    </row>
    <row r="20" spans="1:15" x14ac:dyDescent="0.2">
      <c r="A20" s="12" t="s">
        <v>22</v>
      </c>
      <c r="B20" s="1">
        <v>396</v>
      </c>
      <c r="C20" s="1">
        <v>263</v>
      </c>
      <c r="D20" s="1">
        <v>0</v>
      </c>
      <c r="E20" s="1">
        <v>15</v>
      </c>
      <c r="F20" s="19">
        <f t="shared" si="2"/>
        <v>674</v>
      </c>
      <c r="G20" s="24">
        <f>F20/1255-1</f>
        <v>-0.4629482071713148</v>
      </c>
      <c r="H20" s="1">
        <v>0</v>
      </c>
      <c r="I20" s="18"/>
      <c r="J20" s="18"/>
      <c r="K20" s="18"/>
      <c r="L20" s="18"/>
      <c r="M20" s="18"/>
      <c r="N20" s="18"/>
      <c r="O20" s="18"/>
    </row>
    <row r="21" spans="1:15" x14ac:dyDescent="0.2">
      <c r="A21" s="12" t="s">
        <v>26</v>
      </c>
      <c r="B21" s="1">
        <v>536</v>
      </c>
      <c r="C21" s="1">
        <v>2306</v>
      </c>
      <c r="D21" s="1">
        <v>426</v>
      </c>
      <c r="E21" s="1">
        <v>252</v>
      </c>
      <c r="F21" s="19">
        <f t="shared" si="2"/>
        <v>3520</v>
      </c>
      <c r="G21" s="24">
        <f>F21/3874-1</f>
        <v>-9.1378420237480662E-2</v>
      </c>
      <c r="H21" s="1">
        <v>150</v>
      </c>
      <c r="I21" s="18"/>
      <c r="J21" s="18"/>
      <c r="K21" s="18"/>
      <c r="L21" s="18"/>
      <c r="M21" s="18"/>
      <c r="N21" s="18"/>
      <c r="O21" s="18"/>
    </row>
    <row r="22" spans="1:15" s="5" customFormat="1" x14ac:dyDescent="0.2">
      <c r="A22" s="16" t="s">
        <v>25</v>
      </c>
      <c r="B22" s="3">
        <f>SUM(B12:B21)</f>
        <v>21870</v>
      </c>
      <c r="C22" s="3">
        <f>SUM(C12:C21)</f>
        <v>36019</v>
      </c>
      <c r="D22" s="3">
        <f>SUM(D12:D21)</f>
        <v>6723</v>
      </c>
      <c r="E22" s="3">
        <f>SUM(E12:E21)</f>
        <v>4163</v>
      </c>
      <c r="F22" s="27">
        <f>SUM(B22:E22)</f>
        <v>68775</v>
      </c>
      <c r="G22" s="21">
        <f>F22/75707-1</f>
        <v>-9.1563527811166723E-2</v>
      </c>
      <c r="H22" s="3">
        <f>SUM(H12:H21)</f>
        <v>4952</v>
      </c>
      <c r="I22" s="18"/>
      <c r="J22" s="18"/>
      <c r="K22" s="18"/>
      <c r="L22" s="18"/>
      <c r="M22" s="18"/>
      <c r="N22" s="18"/>
      <c r="O22" s="18"/>
    </row>
    <row r="23" spans="1:15" s="26" customFormat="1" x14ac:dyDescent="0.2">
      <c r="A23" s="25"/>
      <c r="B23" s="20"/>
      <c r="C23" s="20"/>
      <c r="D23" s="20"/>
      <c r="E23" s="20"/>
      <c r="F23" s="19"/>
      <c r="G23" s="24"/>
      <c r="H23" s="20"/>
      <c r="I23" s="18"/>
      <c r="J23" s="18"/>
      <c r="K23" s="18"/>
      <c r="L23" s="18"/>
      <c r="M23" s="18"/>
      <c r="N23" s="18"/>
      <c r="O23" s="18"/>
    </row>
    <row r="24" spans="1:15" s="26" customFormat="1" x14ac:dyDescent="0.2">
      <c r="A24" s="25" t="s">
        <v>36</v>
      </c>
      <c r="B24" s="20"/>
      <c r="C24" s="20"/>
      <c r="D24" s="20"/>
      <c r="E24" s="20"/>
      <c r="F24" s="19"/>
      <c r="G24" s="24"/>
      <c r="H24" s="20"/>
      <c r="I24" s="18"/>
      <c r="J24" s="18"/>
      <c r="K24" s="18"/>
      <c r="L24" s="18"/>
      <c r="M24" s="18"/>
      <c r="N24" s="18"/>
      <c r="O24" s="18"/>
    </row>
    <row r="25" spans="1:15" x14ac:dyDescent="0.2">
      <c r="A25" s="12" t="s">
        <v>29</v>
      </c>
      <c r="B25" s="1">
        <v>4049</v>
      </c>
      <c r="C25" s="1">
        <v>17448</v>
      </c>
      <c r="D25" s="1">
        <v>1303</v>
      </c>
      <c r="E25" s="1">
        <v>753</v>
      </c>
      <c r="F25" s="19">
        <f>SUM(B25:E25)</f>
        <v>23553</v>
      </c>
      <c r="G25" s="24">
        <f>F25/25568-1</f>
        <v>-7.8809449311639579E-2</v>
      </c>
      <c r="H25" s="1">
        <v>1500</v>
      </c>
      <c r="I25" s="18"/>
      <c r="J25" s="18"/>
      <c r="K25" s="18"/>
      <c r="L25" s="18"/>
      <c r="M25" s="18"/>
      <c r="N25" s="18"/>
      <c r="O25" s="18"/>
    </row>
    <row r="26" spans="1:15" x14ac:dyDescent="0.2">
      <c r="A26" s="12" t="s">
        <v>23</v>
      </c>
      <c r="B26" s="1">
        <v>1753</v>
      </c>
      <c r="C26" s="1">
        <v>5042</v>
      </c>
      <c r="D26" s="1">
        <v>87</v>
      </c>
      <c r="E26" s="1">
        <v>4676</v>
      </c>
      <c r="F26" s="19">
        <f t="shared" ref="F26:F28" si="3">SUM(B26:E26)</f>
        <v>11558</v>
      </c>
      <c r="G26" s="24">
        <f>F26/11339-1</f>
        <v>1.931387247552685E-2</v>
      </c>
      <c r="H26" s="1">
        <v>859</v>
      </c>
      <c r="I26" s="18"/>
      <c r="J26" s="18"/>
      <c r="K26" s="18"/>
      <c r="L26" s="18"/>
      <c r="M26" s="18"/>
      <c r="N26" s="18"/>
      <c r="O26" s="18"/>
    </row>
    <row r="27" spans="1:15" x14ac:dyDescent="0.2">
      <c r="A27" s="12" t="s">
        <v>28</v>
      </c>
      <c r="B27" s="1">
        <v>9148</v>
      </c>
      <c r="C27" s="1">
        <v>22416</v>
      </c>
      <c r="D27" s="1">
        <v>946</v>
      </c>
      <c r="E27" s="1">
        <v>3</v>
      </c>
      <c r="F27" s="19">
        <f t="shared" si="3"/>
        <v>32513</v>
      </c>
      <c r="G27" s="24">
        <f>F27/40568-1</f>
        <v>-0.19855551173338593</v>
      </c>
      <c r="H27" s="1">
        <v>3353</v>
      </c>
      <c r="I27" s="18"/>
      <c r="J27" s="18"/>
      <c r="K27" s="18"/>
      <c r="L27" s="18"/>
      <c r="M27" s="18"/>
      <c r="N27" s="18"/>
      <c r="O27" s="18"/>
    </row>
    <row r="28" spans="1:15" x14ac:dyDescent="0.2">
      <c r="A28" s="17" t="s">
        <v>27</v>
      </c>
      <c r="B28" s="1">
        <v>10696</v>
      </c>
      <c r="C28" s="1">
        <v>22922</v>
      </c>
      <c r="D28" s="1">
        <v>11813</v>
      </c>
      <c r="E28" s="1">
        <v>1106</v>
      </c>
      <c r="F28" s="19">
        <f t="shared" si="3"/>
        <v>46537</v>
      </c>
      <c r="G28" s="24">
        <f>F28/65125-1</f>
        <v>-0.28542034548944339</v>
      </c>
      <c r="H28" s="1">
        <v>4325</v>
      </c>
      <c r="I28" s="18"/>
      <c r="J28" s="18"/>
      <c r="K28" s="18"/>
      <c r="L28" s="18"/>
      <c r="M28" s="18"/>
      <c r="N28" s="18"/>
      <c r="O28" s="18"/>
    </row>
    <row r="29" spans="1:15" x14ac:dyDescent="0.2">
      <c r="A29" s="31"/>
      <c r="B29" s="31"/>
      <c r="C29" s="31"/>
      <c r="D29" s="31"/>
      <c r="E29" s="31"/>
      <c r="F29" s="19"/>
      <c r="G29" s="31"/>
      <c r="H29" s="31"/>
    </row>
    <row r="30" spans="1:15" s="5" customFormat="1" x14ac:dyDescent="0.2">
      <c r="A30" s="3" t="s">
        <v>14</v>
      </c>
      <c r="B30" s="3">
        <f>B9+B22+B25+B26+B27+B28</f>
        <v>92611</v>
      </c>
      <c r="C30" s="3">
        <f t="shared" ref="C30:H30" si="4">C9+C22+C25+C26+C27+C28</f>
        <v>259208</v>
      </c>
      <c r="D30" s="3">
        <f t="shared" si="4"/>
        <v>20944</v>
      </c>
      <c r="E30" s="3">
        <f t="shared" si="4"/>
        <v>37887</v>
      </c>
      <c r="F30" s="27">
        <f>SUM(B30:E30)</f>
        <v>410650</v>
      </c>
      <c r="G30" s="4">
        <f>F30/459505-1</f>
        <v>-0.10632093230759188</v>
      </c>
      <c r="H30" s="3">
        <f t="shared" si="4"/>
        <v>33720</v>
      </c>
      <c r="I30" s="18"/>
      <c r="J30" s="18"/>
      <c r="K30" s="18"/>
      <c r="L30" s="18"/>
      <c r="M30" s="18"/>
      <c r="N30" s="18"/>
      <c r="O30" s="18"/>
    </row>
    <row r="31" spans="1:15" x14ac:dyDescent="0.2">
      <c r="A31" s="12"/>
      <c r="B31" s="1"/>
      <c r="C31" s="1"/>
      <c r="D31" s="1"/>
      <c r="E31" s="1"/>
      <c r="F31" s="19"/>
      <c r="G31" s="24"/>
      <c r="H31" s="1"/>
      <c r="I31" s="18"/>
      <c r="J31" s="18"/>
      <c r="K31" s="18"/>
      <c r="L31" s="18"/>
      <c r="M31" s="18"/>
      <c r="N31" s="18"/>
      <c r="O31" s="18"/>
    </row>
    <row r="32" spans="1:15" x14ac:dyDescent="0.2">
      <c r="A32" s="12" t="s">
        <v>15</v>
      </c>
      <c r="B32" s="17"/>
      <c r="C32" s="17"/>
      <c r="D32" s="17">
        <v>80643</v>
      </c>
      <c r="E32" s="17"/>
      <c r="F32" s="19">
        <f>SUM(B32:E32)</f>
        <v>80643</v>
      </c>
      <c r="G32" s="24">
        <f>F32/120246-1</f>
        <v>-0.3293498328426725</v>
      </c>
      <c r="H32" s="17"/>
      <c r="I32" s="18"/>
      <c r="J32" s="18"/>
      <c r="K32" s="18"/>
      <c r="L32" s="18"/>
      <c r="M32" s="18"/>
      <c r="N32" s="18"/>
      <c r="O32" s="18"/>
    </row>
    <row r="33" spans="1:15" x14ac:dyDescent="0.2">
      <c r="A33" s="12"/>
      <c r="B33" s="17"/>
      <c r="C33" s="17"/>
      <c r="D33" s="17"/>
      <c r="E33" s="17"/>
      <c r="F33" s="19"/>
      <c r="G33" s="24"/>
      <c r="H33" s="17"/>
      <c r="I33" s="18"/>
      <c r="J33" s="18"/>
      <c r="K33" s="18"/>
      <c r="L33" s="18"/>
      <c r="M33" s="18"/>
      <c r="N33" s="18"/>
      <c r="O33" s="18"/>
    </row>
    <row r="34" spans="1:15" x14ac:dyDescent="0.2">
      <c r="A34" s="12" t="s">
        <v>16</v>
      </c>
      <c r="B34" s="17">
        <v>10156</v>
      </c>
      <c r="C34" s="17">
        <v>22752</v>
      </c>
      <c r="D34" s="17">
        <v>2551</v>
      </c>
      <c r="E34" s="17">
        <v>2003</v>
      </c>
      <c r="F34" s="19">
        <f t="shared" ref="F34:F42" si="5">SUM(B34:E34)</f>
        <v>37462</v>
      </c>
      <c r="G34" s="24">
        <f>F34/37805-1</f>
        <v>-9.0728739584711171E-3</v>
      </c>
      <c r="H34" s="17">
        <v>4882</v>
      </c>
      <c r="I34" s="18"/>
      <c r="J34" s="18"/>
      <c r="K34" s="18"/>
      <c r="L34" s="18"/>
      <c r="M34" s="18"/>
      <c r="N34" s="18"/>
      <c r="O34" s="18"/>
    </row>
    <row r="35" spans="1:15" x14ac:dyDescent="0.2">
      <c r="A35" s="12" t="s">
        <v>17</v>
      </c>
      <c r="B35" s="17"/>
      <c r="C35" s="17"/>
      <c r="D35" s="17">
        <v>66440</v>
      </c>
      <c r="E35" s="17"/>
      <c r="F35" s="19">
        <f t="shared" si="5"/>
        <v>66440</v>
      </c>
      <c r="G35" s="24">
        <f>F35/58953-1</f>
        <v>0.12699947415737967</v>
      </c>
      <c r="H35" s="17"/>
      <c r="I35" s="18"/>
      <c r="J35" s="18"/>
      <c r="K35" s="18"/>
      <c r="L35" s="18"/>
      <c r="M35" s="18"/>
      <c r="N35" s="18"/>
      <c r="O35" s="18"/>
    </row>
    <row r="36" spans="1:15" x14ac:dyDescent="0.2">
      <c r="A36" s="12"/>
      <c r="B36" s="17"/>
      <c r="C36" s="17"/>
      <c r="D36" s="17"/>
      <c r="E36" s="17"/>
      <c r="F36" s="19"/>
      <c r="G36" s="24"/>
      <c r="H36" s="17"/>
      <c r="I36" s="18"/>
      <c r="J36" s="18"/>
      <c r="K36" s="18"/>
      <c r="L36" s="18"/>
      <c r="M36" s="18"/>
      <c r="N36" s="18"/>
      <c r="O36" s="18"/>
    </row>
    <row r="37" spans="1:15" x14ac:dyDescent="0.2">
      <c r="A37" s="12" t="s">
        <v>18</v>
      </c>
      <c r="B37" s="17">
        <v>4189</v>
      </c>
      <c r="C37" s="17">
        <v>13373</v>
      </c>
      <c r="D37" s="17">
        <v>407</v>
      </c>
      <c r="E37" s="17">
        <v>1245</v>
      </c>
      <c r="F37" s="19">
        <f t="shared" si="5"/>
        <v>19214</v>
      </c>
      <c r="G37" s="24">
        <f>F37/30864-1</f>
        <v>-0.37746241575946082</v>
      </c>
      <c r="H37" s="17">
        <v>4244</v>
      </c>
      <c r="I37" s="18"/>
      <c r="J37" s="18"/>
      <c r="K37" s="18"/>
      <c r="L37" s="18"/>
      <c r="M37" s="18"/>
      <c r="N37" s="18"/>
      <c r="O37" s="18"/>
    </row>
    <row r="38" spans="1:15" x14ac:dyDescent="0.2">
      <c r="A38" s="12" t="s">
        <v>19</v>
      </c>
      <c r="B38" s="17"/>
      <c r="C38" s="17"/>
      <c r="D38" s="17">
        <v>16511</v>
      </c>
      <c r="E38" s="17"/>
      <c r="F38" s="19">
        <f t="shared" si="5"/>
        <v>16511</v>
      </c>
      <c r="G38" s="24">
        <f>F38/16498-1</f>
        <v>7.8797429991506185E-4</v>
      </c>
      <c r="H38" s="17"/>
      <c r="I38" s="18"/>
      <c r="J38" s="18"/>
      <c r="K38" s="18"/>
      <c r="L38" s="18"/>
      <c r="M38" s="18"/>
      <c r="N38" s="18"/>
      <c r="O38" s="18"/>
    </row>
    <row r="39" spans="1:15" x14ac:dyDescent="0.2">
      <c r="A39" s="12"/>
      <c r="B39" s="17"/>
      <c r="C39" s="17"/>
      <c r="D39" s="17"/>
      <c r="E39" s="17"/>
      <c r="F39" s="19"/>
      <c r="G39" s="24"/>
      <c r="H39" s="17"/>
      <c r="I39" s="18"/>
      <c r="J39" s="18"/>
      <c r="K39" s="18"/>
      <c r="L39" s="18"/>
      <c r="M39" s="18"/>
      <c r="N39" s="18"/>
      <c r="O39" s="18"/>
    </row>
    <row r="40" spans="1:15" x14ac:dyDescent="0.2">
      <c r="A40" s="12" t="s">
        <v>42</v>
      </c>
      <c r="B40" s="17"/>
      <c r="C40" s="17"/>
      <c r="D40" s="49">
        <v>69761</v>
      </c>
      <c r="E40" s="17"/>
      <c r="F40" s="50">
        <f>D40</f>
        <v>69761</v>
      </c>
      <c r="G40" s="24">
        <f>F40/60146-1</f>
        <v>0.15986100488810551</v>
      </c>
      <c r="H40" s="17"/>
      <c r="I40" s="18"/>
      <c r="J40" s="18"/>
      <c r="K40" s="18"/>
      <c r="L40" s="18"/>
      <c r="M40" s="18"/>
      <c r="N40" s="18"/>
      <c r="O40" s="18"/>
    </row>
    <row r="41" spans="1:15" x14ac:dyDescent="0.2">
      <c r="A41" s="31"/>
      <c r="B41" s="31"/>
      <c r="C41" s="31"/>
      <c r="D41" s="45"/>
      <c r="E41" s="31"/>
      <c r="F41" s="19"/>
      <c r="G41" s="24"/>
      <c r="H41" s="31"/>
      <c r="I41" s="18"/>
      <c r="J41" s="18"/>
      <c r="K41" s="18"/>
      <c r="L41" s="18"/>
      <c r="M41" s="18"/>
      <c r="N41" s="18"/>
      <c r="O41" s="18"/>
    </row>
    <row r="42" spans="1:15" x14ac:dyDescent="0.2">
      <c r="A42" s="45" t="s">
        <v>39</v>
      </c>
      <c r="B42" s="31">
        <v>8968</v>
      </c>
      <c r="C42" s="31">
        <v>37</v>
      </c>
      <c r="D42" s="31">
        <v>0</v>
      </c>
      <c r="E42" s="31">
        <v>0</v>
      </c>
      <c r="F42" s="19">
        <f t="shared" si="5"/>
        <v>9005</v>
      </c>
      <c r="G42" s="24">
        <f>F42/10223-1</f>
        <v>-0.11914310867651379</v>
      </c>
      <c r="H42" s="31">
        <v>0</v>
      </c>
    </row>
  </sheetData>
  <sheetProtection password="CC4F" sheet="1" objects="1" scenarios="1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STATISTICS&amp;C&amp;"Arial,Bold"&amp;14April - June  2013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view="pageLayout" zoomScaleNormal="100" workbookViewId="0">
      <selection activeCell="B53" sqref="B53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2" customWidth="1"/>
  </cols>
  <sheetData>
    <row r="1" spans="1:15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41</v>
      </c>
      <c r="G1" s="8" t="s">
        <v>45</v>
      </c>
      <c r="H1" s="8" t="s">
        <v>5</v>
      </c>
    </row>
    <row r="2" spans="1:15" s="29" customFormat="1" ht="12.75" customHeight="1" x14ac:dyDescent="0.25">
      <c r="A2" s="30" t="s">
        <v>34</v>
      </c>
      <c r="B2" s="8"/>
      <c r="C2" s="9"/>
      <c r="D2" s="8"/>
      <c r="E2" s="8"/>
      <c r="F2" s="28"/>
      <c r="G2" s="28"/>
      <c r="H2" s="8"/>
    </row>
    <row r="3" spans="1:15" x14ac:dyDescent="0.2">
      <c r="A3" s="12" t="s">
        <v>31</v>
      </c>
      <c r="B3" s="13">
        <f>'Jul-Sep 2012'!B3+'Oct-Dec 2012'!B3+'Jan-Mar 2013'!B3+'Apr-Jun 2013'!B3</f>
        <v>162448</v>
      </c>
      <c r="C3" s="13">
        <f>'Jul-Sep 2012'!C3+'Oct-Dec 2012'!C3+'Jan-Mar 2013'!C3+'Apr-Jun 2013'!C3</f>
        <v>613843</v>
      </c>
      <c r="D3" s="13">
        <f>'Jul-Sep 2012'!D3+'Oct-Dec 2012'!D3+'Jan-Mar 2013'!D3+'Apr-Jun 2013'!D3</f>
        <v>0</v>
      </c>
      <c r="E3" s="13">
        <f>'Jul-Sep 2012'!E3+'Oct-Dec 2012'!E3+'Jan-Mar 2013'!E3+'Apr-Jun 2013'!E3</f>
        <v>58917</v>
      </c>
      <c r="F3" s="13">
        <f>'Jul-Sep 2012'!F3+'Oct-Dec 2012'!F3+'Jan-Mar 2013'!F3+'Apr-Jun 2013'!F3</f>
        <v>835208</v>
      </c>
      <c r="G3" s="32">
        <f>F3/898858-1</f>
        <v>-7.0812074877233067E-2</v>
      </c>
      <c r="H3" s="13">
        <f>'Jul-Sep 2012'!H3+'Oct-Dec 2012'!H3+'Jan-Mar 2013'!H3+'Apr-Jun 2013'!H3</f>
        <v>77922</v>
      </c>
    </row>
    <row r="4" spans="1:15" x14ac:dyDescent="0.2">
      <c r="A4" s="14" t="s">
        <v>32</v>
      </c>
      <c r="B4" s="13">
        <f>'Jul-Sep 2012'!B4+'Oct-Dec 2012'!B4+'Jan-Mar 2013'!B4+'Apr-Jun 2013'!B4</f>
        <v>3579</v>
      </c>
      <c r="C4" s="13">
        <f>'Jul-Sep 2012'!C4+'Oct-Dec 2012'!C4+'Jan-Mar 2013'!C4+'Apr-Jun 2013'!C4</f>
        <v>6649</v>
      </c>
      <c r="D4" s="13">
        <f>'Jul-Sep 2012'!D4+'Oct-Dec 2012'!D4+'Jan-Mar 2013'!D4+'Apr-Jun 2013'!D4</f>
        <v>0</v>
      </c>
      <c r="E4" s="13">
        <f>'Jul-Sep 2012'!E4+'Oct-Dec 2012'!E4+'Jan-Mar 2013'!E4+'Apr-Jun 2013'!E4</f>
        <v>10794</v>
      </c>
      <c r="F4" s="13">
        <f>'Jul-Sep 2012'!F4+'Oct-Dec 2012'!F4+'Jan-Mar 2013'!F4+'Apr-Jun 2013'!F4</f>
        <v>21022</v>
      </c>
      <c r="G4" s="32">
        <f>F4/21242-1</f>
        <v>-1.0356840222201291E-2</v>
      </c>
      <c r="H4" s="13">
        <f>'Jul-Sep 2012'!H4+'Oct-Dec 2012'!H4+'Jan-Mar 2013'!H4+'Apr-Jun 2013'!H4</f>
        <v>1184</v>
      </c>
    </row>
    <row r="5" spans="1:15" x14ac:dyDescent="0.2">
      <c r="A5" s="14" t="s">
        <v>21</v>
      </c>
      <c r="B5" s="13">
        <f>'Jul-Sep 2012'!B5+'Oct-Dec 2012'!B5+'Jan-Mar 2013'!B5+'Apr-Jun 2013'!B5</f>
        <v>538</v>
      </c>
      <c r="C5" s="13">
        <f>'Jul-Sep 2012'!C5+'Oct-Dec 2012'!C5+'Jan-Mar 2013'!C5+'Apr-Jun 2013'!C5</f>
        <v>2724</v>
      </c>
      <c r="D5" s="13">
        <f>'Jul-Sep 2012'!D5+'Oct-Dec 2012'!D5+'Jan-Mar 2013'!D5+'Apr-Jun 2013'!D5</f>
        <v>0</v>
      </c>
      <c r="E5" s="13">
        <f>'Jul-Sep 2012'!E5+'Oct-Dec 2012'!E5+'Jan-Mar 2013'!E5+'Apr-Jun 2013'!E5</f>
        <v>11452</v>
      </c>
      <c r="F5" s="13">
        <f>'Jul-Sep 2012'!F5+'Oct-Dec 2012'!F5+'Jan-Mar 2013'!F5+'Apr-Jun 2013'!F5</f>
        <v>14714</v>
      </c>
      <c r="G5" s="32">
        <f>F5/8318-1</f>
        <v>0.76893484010579471</v>
      </c>
      <c r="H5" s="13">
        <f>'Jul-Sep 2012'!H5+'Oct-Dec 2012'!H5+'Jan-Mar 2013'!H5+'Apr-Jun 2013'!H5</f>
        <v>80</v>
      </c>
    </row>
    <row r="6" spans="1:15" x14ac:dyDescent="0.2">
      <c r="A6" s="14" t="s">
        <v>6</v>
      </c>
      <c r="B6" s="13">
        <f>'Jul-Sep 2012'!B6+'Oct-Dec 2012'!B6+'Jan-Mar 2013'!B6+'Apr-Jun 2013'!B6</f>
        <v>1585</v>
      </c>
      <c r="C6" s="13">
        <f>'Jul-Sep 2012'!C6+'Oct-Dec 2012'!C6+'Jan-Mar 2013'!C6+'Apr-Jun 2013'!C6</f>
        <v>2</v>
      </c>
      <c r="D6" s="13">
        <f>'Jul-Sep 2012'!D6+'Oct-Dec 2012'!D6+'Jan-Mar 2013'!D6+'Apr-Jun 2013'!D6</f>
        <v>1421</v>
      </c>
      <c r="E6" s="13">
        <f>'Jul-Sep 2012'!E6+'Oct-Dec 2012'!E6+'Jan-Mar 2013'!E6+'Apr-Jun 2013'!E6</f>
        <v>15320</v>
      </c>
      <c r="F6" s="13">
        <f>'Jul-Sep 2012'!F6+'Oct-Dec 2012'!F6+'Jan-Mar 2013'!F6+'Apr-Jun 2013'!F6</f>
        <v>18328</v>
      </c>
      <c r="G6" s="32">
        <f>F6/23546-1</f>
        <v>-0.22160876582009681</v>
      </c>
      <c r="H6" s="13">
        <f>'Jul-Sep 2012'!H6+'Oct-Dec 2012'!H6+'Jan-Mar 2013'!H6+'Apr-Jun 2013'!H6</f>
        <v>0</v>
      </c>
    </row>
    <row r="7" spans="1:15" x14ac:dyDescent="0.2">
      <c r="A7" s="12" t="s">
        <v>7</v>
      </c>
      <c r="B7" s="13">
        <f>'Jul-Sep 2012'!B7+'Oct-Dec 2012'!B7+'Jan-Mar 2013'!B7+'Apr-Jun 2013'!B7</f>
        <v>13024</v>
      </c>
      <c r="C7" s="13">
        <f>'Jul-Sep 2012'!C7+'Oct-Dec 2012'!C7+'Jan-Mar 2013'!C7+'Apr-Jun 2013'!C7</f>
        <v>16</v>
      </c>
      <c r="D7" s="13">
        <f>'Jul-Sep 2012'!D7+'Oct-Dec 2012'!D7+'Jan-Mar 2013'!D7+'Apr-Jun 2013'!D7</f>
        <v>0</v>
      </c>
      <c r="E7" s="13">
        <f>'Jul-Sep 2012'!E7+'Oct-Dec 2012'!E7+'Jan-Mar 2013'!E7+'Apr-Jun 2013'!E7</f>
        <v>4</v>
      </c>
      <c r="F7" s="13">
        <f>'Jul-Sep 2012'!F7+'Oct-Dec 2012'!F7+'Jan-Mar 2013'!F7+'Apr-Jun 2013'!F7</f>
        <v>13044</v>
      </c>
      <c r="G7" s="32">
        <f>F7/8029-1</f>
        <v>0.62461078590110852</v>
      </c>
      <c r="H7" s="13">
        <f>'Jul-Sep 2012'!H7+'Oct-Dec 2012'!H7+'Jan-Mar 2013'!H7+'Apr-Jun 2013'!H7</f>
        <v>0</v>
      </c>
    </row>
    <row r="8" spans="1:15" x14ac:dyDescent="0.2">
      <c r="A8" s="14" t="s">
        <v>33</v>
      </c>
      <c r="B8" s="13">
        <f>'Jul-Sep 2012'!B8+'Oct-Dec 2012'!B8+'Jan-Mar 2013'!B8+'Apr-Jun 2013'!B8</f>
        <v>131</v>
      </c>
      <c r="C8" s="13">
        <f>'Jul-Sep 2012'!C8+'Oct-Dec 2012'!C8+'Jan-Mar 2013'!C8+'Apr-Jun 2013'!C8</f>
        <v>67</v>
      </c>
      <c r="D8" s="13">
        <f>'Jul-Sep 2012'!D8+'Oct-Dec 2012'!D8+'Jan-Mar 2013'!D8+'Apr-Jun 2013'!D8</f>
        <v>0</v>
      </c>
      <c r="E8" s="13">
        <f>'Jul-Sep 2012'!E8+'Oct-Dec 2012'!E8+'Jan-Mar 2013'!E8+'Apr-Jun 2013'!E8</f>
        <v>25280</v>
      </c>
      <c r="F8" s="13">
        <f>'Jul-Sep 2012'!F8+'Oct-Dec 2012'!F8+'Jan-Mar 2013'!F8+'Apr-Jun 2013'!F8</f>
        <v>25478</v>
      </c>
      <c r="G8" s="32">
        <f>F8/26128-1</f>
        <v>-2.4877526025719576E-2</v>
      </c>
      <c r="H8" s="13">
        <f>'Jul-Sep 2012'!H8+'Oct-Dec 2012'!H8+'Jan-Mar 2013'!H8+'Apr-Jun 2013'!H8</f>
        <v>0</v>
      </c>
      <c r="I8" s="18"/>
      <c r="J8" s="18"/>
      <c r="K8" s="18"/>
      <c r="L8" s="18"/>
      <c r="M8" s="18"/>
      <c r="N8" s="18"/>
      <c r="O8" s="18"/>
    </row>
    <row r="9" spans="1:15" s="5" customFormat="1" x14ac:dyDescent="0.2">
      <c r="A9" s="33" t="s">
        <v>30</v>
      </c>
      <c r="B9" s="34">
        <f>'Jul-Sep 2012'!B9+'Oct-Dec 2012'!B9+'Jan-Mar 2013'!B9+'Apr-Jun 2013'!B9</f>
        <v>181305</v>
      </c>
      <c r="C9" s="34">
        <f>'Jul-Sep 2012'!C9+'Oct-Dec 2012'!C9+'Jan-Mar 2013'!C9+'Apr-Jun 2013'!C9</f>
        <v>623301</v>
      </c>
      <c r="D9" s="34">
        <f>'Jul-Sep 2012'!D9+'Oct-Dec 2012'!D9+'Jan-Mar 2013'!D9+'Apr-Jun 2013'!D9</f>
        <v>1421</v>
      </c>
      <c r="E9" s="34">
        <f>'Jul-Sep 2012'!E9+'Oct-Dec 2012'!E9+'Jan-Mar 2013'!E9+'Apr-Jun 2013'!E9</f>
        <v>121767</v>
      </c>
      <c r="F9" s="34">
        <f>'Jul-Sep 2012'!F9+'Oct-Dec 2012'!F9+'Jan-Mar 2013'!F9+'Apr-Jun 2013'!F9</f>
        <v>927794</v>
      </c>
      <c r="G9" s="35">
        <f>F9/989255-1</f>
        <v>-6.2128571500775887E-2</v>
      </c>
      <c r="H9" s="34">
        <f>'Jul-Sep 2012'!H9+'Oct-Dec 2012'!H9+'Jan-Mar 2013'!H9+'Apr-Jun 2013'!H9</f>
        <v>79186</v>
      </c>
      <c r="I9" s="18"/>
      <c r="J9" s="18"/>
      <c r="K9" s="18"/>
      <c r="L9" s="18"/>
      <c r="M9" s="18"/>
      <c r="N9" s="18"/>
      <c r="O9" s="18"/>
    </row>
    <row r="10" spans="1:15" x14ac:dyDescent="0.2">
      <c r="A10" s="14"/>
      <c r="B10" s="13"/>
      <c r="C10" s="1"/>
      <c r="D10" s="12"/>
      <c r="E10" s="12"/>
      <c r="F10" s="1"/>
      <c r="G10" s="2"/>
      <c r="H10" s="12"/>
      <c r="I10" s="18"/>
      <c r="J10" s="18"/>
      <c r="K10" s="18"/>
      <c r="L10" s="18"/>
      <c r="M10" s="18"/>
      <c r="N10" s="18"/>
      <c r="O10" s="18"/>
    </row>
    <row r="11" spans="1:15" x14ac:dyDescent="0.2">
      <c r="A11" s="14" t="s">
        <v>35</v>
      </c>
      <c r="B11" s="13"/>
      <c r="C11" s="1"/>
      <c r="D11" s="12"/>
      <c r="E11" s="12"/>
      <c r="F11" s="1"/>
      <c r="G11" s="2"/>
      <c r="H11" s="12"/>
      <c r="I11" s="18"/>
      <c r="J11" s="18"/>
      <c r="K11" s="18"/>
      <c r="L11" s="18"/>
      <c r="M11" s="18"/>
      <c r="N11" s="18"/>
      <c r="O11" s="18"/>
    </row>
    <row r="12" spans="1:15" x14ac:dyDescent="0.2">
      <c r="A12" s="15" t="s">
        <v>8</v>
      </c>
      <c r="B12" s="13">
        <f>'Jul-Sep 2012'!B12+'Oct-Dec 2012'!B12+'Jan-Mar 2013'!B12+'Apr-Jun 2013'!B12</f>
        <v>12994</v>
      </c>
      <c r="C12" s="13">
        <f>'Jul-Sep 2012'!C12+'Oct-Dec 2012'!C12+'Jan-Mar 2013'!C12+'Apr-Jun 2013'!C12</f>
        <v>33147</v>
      </c>
      <c r="D12" s="13">
        <f>'Jul-Sep 2012'!D12+'Oct-Dec 2012'!D12+'Jan-Mar 2013'!D12+'Apr-Jun 2013'!D12</f>
        <v>1280</v>
      </c>
      <c r="E12" s="13">
        <f>'Jul-Sep 2012'!E12+'Oct-Dec 2012'!E12+'Jan-Mar 2013'!E12+'Apr-Jun 2013'!E12</f>
        <v>5759</v>
      </c>
      <c r="F12" s="13">
        <f>'Jul-Sep 2012'!F12+'Oct-Dec 2012'!F12+'Jan-Mar 2013'!F12+'Apr-Jun 2013'!F12</f>
        <v>53180</v>
      </c>
      <c r="G12" s="32">
        <f>F12/53485-1</f>
        <v>-5.7025334205852429E-3</v>
      </c>
      <c r="H12" s="13">
        <f>'Jul-Sep 2012'!H12+'Oct-Dec 2012'!H12+'Jan-Mar 2013'!H12+'Apr-Jun 2013'!H12</f>
        <v>4652</v>
      </c>
      <c r="I12" s="18"/>
      <c r="J12" s="18"/>
      <c r="K12" s="18"/>
      <c r="L12" s="18"/>
      <c r="M12" s="18"/>
      <c r="N12" s="18"/>
      <c r="O12" s="18"/>
    </row>
    <row r="13" spans="1:15" x14ac:dyDescent="0.2">
      <c r="A13" s="15" t="s">
        <v>38</v>
      </c>
      <c r="B13" s="13">
        <f>'Jul-Sep 2012'!B13+'Oct-Dec 2012'!B13+'Jan-Mar 2013'!B13+'Apr-Jun 2013'!B13</f>
        <v>12445</v>
      </c>
      <c r="C13" s="13">
        <f>'Jul-Sep 2012'!C13+'Oct-Dec 2012'!C13+'Jan-Mar 2013'!C13+'Apr-Jun 2013'!C13</f>
        <v>18613</v>
      </c>
      <c r="D13" s="13">
        <f>'Jul-Sep 2012'!D13+'Oct-Dec 2012'!D13+'Jan-Mar 2013'!D13+'Apr-Jun 2013'!D13</f>
        <v>1217</v>
      </c>
      <c r="E13" s="13">
        <f>'Jul-Sep 2012'!E13+'Oct-Dec 2012'!E13+'Jan-Mar 2013'!E13+'Apr-Jun 2013'!E13</f>
        <v>3953</v>
      </c>
      <c r="F13" s="13">
        <f>'Jul-Sep 2012'!F13+'Oct-Dec 2012'!F13+'Jan-Mar 2013'!F13+'Apr-Jun 2013'!F13</f>
        <v>36228</v>
      </c>
      <c r="G13" s="32">
        <f>F13/36296-1</f>
        <v>-1.8734846815076089E-3</v>
      </c>
      <c r="H13" s="13">
        <f>'Jul-Sep 2012'!H13+'Oct-Dec 2012'!H13+'Jan-Mar 2013'!H13+'Apr-Jun 2013'!H13</f>
        <v>3763</v>
      </c>
      <c r="I13" s="18"/>
      <c r="J13" s="18"/>
      <c r="K13" s="18"/>
      <c r="L13" s="18"/>
      <c r="M13" s="18"/>
      <c r="N13" s="18"/>
      <c r="O13" s="18"/>
    </row>
    <row r="14" spans="1:15" x14ac:dyDescent="0.2">
      <c r="A14" s="15" t="s">
        <v>9</v>
      </c>
      <c r="B14" s="13">
        <f>'Jul-Sep 2012'!B14+'Oct-Dec 2012'!B14+'Jan-Mar 2013'!B14+'Apr-Jun 2013'!B14</f>
        <v>7384</v>
      </c>
      <c r="C14" s="13">
        <f>'Jul-Sep 2012'!C14+'Oct-Dec 2012'!C14+'Jan-Mar 2013'!C14+'Apr-Jun 2013'!C14</f>
        <v>11540</v>
      </c>
      <c r="D14" s="13">
        <f>'Jul-Sep 2012'!D14+'Oct-Dec 2012'!D14+'Jan-Mar 2013'!D14+'Apr-Jun 2013'!D14</f>
        <v>206</v>
      </c>
      <c r="E14" s="13">
        <f>'Jul-Sep 2012'!E14+'Oct-Dec 2012'!E14+'Jan-Mar 2013'!E14+'Apr-Jun 2013'!E14</f>
        <v>1168</v>
      </c>
      <c r="F14" s="13">
        <f>'Jul-Sep 2012'!F14+'Oct-Dec 2012'!F14+'Jan-Mar 2013'!F14+'Apr-Jun 2013'!F14</f>
        <v>20298</v>
      </c>
      <c r="G14" s="32">
        <f>F14/21799-1</f>
        <v>-6.8856369558236596E-2</v>
      </c>
      <c r="H14" s="13">
        <f>'Jul-Sep 2012'!H14+'Oct-Dec 2012'!H14+'Jan-Mar 2013'!H14+'Apr-Jun 2013'!H14</f>
        <v>2125</v>
      </c>
      <c r="I14" s="18"/>
      <c r="J14" s="18"/>
      <c r="K14" s="18"/>
      <c r="L14" s="18"/>
      <c r="M14" s="18"/>
      <c r="N14" s="18"/>
      <c r="O14" s="18"/>
    </row>
    <row r="15" spans="1:15" x14ac:dyDescent="0.2">
      <c r="A15" s="15" t="s">
        <v>11</v>
      </c>
      <c r="B15" s="13">
        <f>'Jul-Sep 2012'!B15+'Oct-Dec 2012'!B15+'Jan-Mar 2013'!B15+'Apr-Jun 2013'!B15</f>
        <v>12960</v>
      </c>
      <c r="C15" s="13">
        <f>'Jul-Sep 2012'!C15+'Oct-Dec 2012'!C15+'Jan-Mar 2013'!C15+'Apr-Jun 2013'!C15</f>
        <v>23794</v>
      </c>
      <c r="D15" s="13">
        <f>'Jul-Sep 2012'!D15+'Oct-Dec 2012'!D15+'Jan-Mar 2013'!D15+'Apr-Jun 2013'!D15</f>
        <v>2174</v>
      </c>
      <c r="E15" s="13">
        <f>'Jul-Sep 2012'!E15+'Oct-Dec 2012'!E15+'Jan-Mar 2013'!E15+'Apr-Jun 2013'!E15</f>
        <v>3835</v>
      </c>
      <c r="F15" s="13">
        <f>'Jul-Sep 2012'!F15+'Oct-Dec 2012'!F15+'Jan-Mar 2013'!F15+'Apr-Jun 2013'!F15</f>
        <v>42763</v>
      </c>
      <c r="G15" s="32">
        <f>F15/44486-1</f>
        <v>-3.8731286247358665E-2</v>
      </c>
      <c r="H15" s="13">
        <f>'Jul-Sep 2012'!H15+'Oct-Dec 2012'!H15+'Jan-Mar 2013'!H15+'Apr-Jun 2013'!H15</f>
        <v>3488</v>
      </c>
      <c r="I15" s="18"/>
      <c r="J15" s="18"/>
      <c r="K15" s="18"/>
      <c r="L15" s="18"/>
      <c r="M15" s="18"/>
      <c r="N15" s="18"/>
      <c r="O15" s="18"/>
    </row>
    <row r="16" spans="1:15" x14ac:dyDescent="0.2">
      <c r="A16" s="14" t="s">
        <v>24</v>
      </c>
      <c r="B16" s="13">
        <f>'Jul-Sep 2012'!B16+'Oct-Dec 2012'!B16+'Jan-Mar 2013'!B16+'Apr-Jun 2013'!B16</f>
        <v>16088</v>
      </c>
      <c r="C16" s="13">
        <f>'Jul-Sep 2012'!C16+'Oct-Dec 2012'!C16+'Jan-Mar 2013'!C16+'Apr-Jun 2013'!C16</f>
        <v>8594</v>
      </c>
      <c r="D16" s="13">
        <f>'Jul-Sep 2012'!D16+'Oct-Dec 2012'!D16+'Jan-Mar 2013'!D16+'Apr-Jun 2013'!D16</f>
        <v>8853</v>
      </c>
      <c r="E16" s="13">
        <f>'Jul-Sep 2012'!E16+'Oct-Dec 2012'!E16+'Jan-Mar 2013'!E16+'Apr-Jun 2013'!E16</f>
        <v>666</v>
      </c>
      <c r="F16" s="13">
        <f>'Jul-Sep 2012'!F16+'Oct-Dec 2012'!F16+'Jan-Mar 2013'!F16+'Apr-Jun 2013'!F16</f>
        <v>34201</v>
      </c>
      <c r="G16" s="32">
        <f>F16/33441-1</f>
        <v>2.2726593104273274E-2</v>
      </c>
      <c r="H16" s="13">
        <f>'Jul-Sep 2012'!H16+'Oct-Dec 2012'!H16+'Jan-Mar 2013'!H16+'Apr-Jun 2013'!H16</f>
        <v>2145</v>
      </c>
      <c r="I16" s="18"/>
      <c r="J16" s="18"/>
      <c r="K16" s="18"/>
      <c r="L16" s="18"/>
      <c r="M16" s="18"/>
      <c r="N16" s="18"/>
      <c r="O16" s="18"/>
    </row>
    <row r="17" spans="1:15" x14ac:dyDescent="0.2">
      <c r="A17" s="14" t="s">
        <v>12</v>
      </c>
      <c r="B17" s="13">
        <f>'Jul-Sep 2012'!B17+'Oct-Dec 2012'!B17+'Jan-Mar 2013'!B17+'Apr-Jun 2013'!B17</f>
        <v>823</v>
      </c>
      <c r="C17" s="13">
        <f>'Jul-Sep 2012'!C17+'Oct-Dec 2012'!C17+'Jan-Mar 2013'!C17+'Apr-Jun 2013'!C17</f>
        <v>5</v>
      </c>
      <c r="D17" s="13">
        <f>'Jul-Sep 2012'!D17+'Oct-Dec 2012'!D17+'Jan-Mar 2013'!D17+'Apr-Jun 2013'!D17</f>
        <v>0</v>
      </c>
      <c r="E17" s="13">
        <f>'Jul-Sep 2012'!E17+'Oct-Dec 2012'!E17+'Jan-Mar 2013'!E17+'Apr-Jun 2013'!E17</f>
        <v>237</v>
      </c>
      <c r="F17" s="13">
        <f>'Jul-Sep 2012'!F17+'Oct-Dec 2012'!F17+'Jan-Mar 2013'!F17+'Apr-Jun 2013'!F17</f>
        <v>1065</v>
      </c>
      <c r="G17" s="32">
        <f>F17/1137-1</f>
        <v>-6.3324538258575203E-2</v>
      </c>
      <c r="H17" s="13">
        <f>'Jul-Sep 2012'!H17+'Oct-Dec 2012'!H17+'Jan-Mar 2013'!H17+'Apr-Jun 2013'!H17</f>
        <v>0</v>
      </c>
      <c r="I17" s="18"/>
      <c r="J17" s="18"/>
      <c r="K17" s="18"/>
      <c r="L17" s="18"/>
      <c r="M17" s="18"/>
      <c r="N17" s="18"/>
      <c r="O17" s="18"/>
    </row>
    <row r="18" spans="1:15" x14ac:dyDescent="0.2">
      <c r="A18" s="14" t="s">
        <v>13</v>
      </c>
      <c r="B18" s="13">
        <f>'Jul-Sep 2012'!B18+'Oct-Dec 2012'!B18+'Jan-Mar 2013'!B18+'Apr-Jun 2013'!B18</f>
        <v>6904</v>
      </c>
      <c r="C18" s="13">
        <f>'Jul-Sep 2012'!C18+'Oct-Dec 2012'!C18+'Jan-Mar 2013'!C18+'Apr-Jun 2013'!C18</f>
        <v>17637</v>
      </c>
      <c r="D18" s="13">
        <f>'Jul-Sep 2012'!D18+'Oct-Dec 2012'!D18+'Jan-Mar 2013'!D18+'Apr-Jun 2013'!D18</f>
        <v>2716</v>
      </c>
      <c r="E18" s="13">
        <f>'Jul-Sep 2012'!E18+'Oct-Dec 2012'!E18+'Jan-Mar 2013'!E18+'Apr-Jun 2013'!E18</f>
        <v>3462</v>
      </c>
      <c r="F18" s="13">
        <f>'Jul-Sep 2012'!F18+'Oct-Dec 2012'!F18+'Jan-Mar 2013'!F18+'Apr-Jun 2013'!F18</f>
        <v>30719</v>
      </c>
      <c r="G18" s="32">
        <f>F18/31798-1</f>
        <v>-3.3932951757972174E-2</v>
      </c>
      <c r="H18" s="13">
        <f>'Jul-Sep 2012'!H18+'Oct-Dec 2012'!H18+'Jan-Mar 2013'!H18+'Apr-Jun 2013'!H18</f>
        <v>2373</v>
      </c>
      <c r="I18" s="18"/>
      <c r="J18" s="18"/>
      <c r="K18" s="18"/>
      <c r="L18" s="18"/>
      <c r="M18" s="18"/>
      <c r="N18" s="18"/>
      <c r="O18" s="18"/>
    </row>
    <row r="19" spans="1:15" x14ac:dyDescent="0.2">
      <c r="A19" s="14" t="s">
        <v>10</v>
      </c>
      <c r="B19" s="13">
        <f>'Jul-Sep 2012'!B19+'Oct-Dec 2012'!B19+'Jan-Mar 2013'!B19+'Apr-Jun 2013'!B19</f>
        <v>13026</v>
      </c>
      <c r="C19" s="13">
        <f>'Jul-Sep 2012'!C19+'Oct-Dec 2012'!C19+'Jan-Mar 2013'!C19+'Apr-Jun 2013'!C19</f>
        <v>23530</v>
      </c>
      <c r="D19" s="13">
        <f>'Jul-Sep 2012'!D19+'Oct-Dec 2012'!D19+'Jan-Mar 2013'!D19+'Apr-Jun 2013'!D19</f>
        <v>879</v>
      </c>
      <c r="E19" s="13">
        <f>'Jul-Sep 2012'!E19+'Oct-Dec 2012'!E19+'Jan-Mar 2013'!E19+'Apr-Jun 2013'!E19</f>
        <v>2672</v>
      </c>
      <c r="F19" s="13">
        <f>'Jul-Sep 2012'!F19+'Oct-Dec 2012'!F19+'Jan-Mar 2013'!F19+'Apr-Jun 2013'!F19</f>
        <v>40107</v>
      </c>
      <c r="G19" s="32">
        <f>F19/42972-1</f>
        <v>-6.6671320860094974E-2</v>
      </c>
      <c r="H19" s="13">
        <f>'Jul-Sep 2012'!H19+'Oct-Dec 2012'!H19+'Jan-Mar 2013'!H19+'Apr-Jun 2013'!H19</f>
        <v>2477</v>
      </c>
      <c r="I19" s="18"/>
      <c r="J19" s="18"/>
      <c r="K19" s="18"/>
      <c r="L19" s="18"/>
      <c r="M19" s="18"/>
      <c r="N19" s="18"/>
      <c r="O19" s="18"/>
    </row>
    <row r="20" spans="1:15" x14ac:dyDescent="0.2">
      <c r="A20" s="12" t="s">
        <v>22</v>
      </c>
      <c r="B20" s="13">
        <f>'Jul-Sep 2012'!B20+'Oct-Dec 2012'!B20+'Jan-Mar 2013'!B20+'Apr-Jun 2013'!B20</f>
        <v>1507</v>
      </c>
      <c r="C20" s="13">
        <f>'Jul-Sep 2012'!C20+'Oct-Dec 2012'!C20+'Jan-Mar 2013'!C20+'Apr-Jun 2013'!C20</f>
        <v>969</v>
      </c>
      <c r="D20" s="13">
        <f>'Jul-Sep 2012'!D20+'Oct-Dec 2012'!D20+'Jan-Mar 2013'!D20+'Apr-Jun 2013'!D20</f>
        <v>454</v>
      </c>
      <c r="E20" s="13">
        <f>'Jul-Sep 2012'!E20+'Oct-Dec 2012'!E20+'Jan-Mar 2013'!E20+'Apr-Jun 2013'!E20</f>
        <v>20</v>
      </c>
      <c r="F20" s="13">
        <f>'Jul-Sep 2012'!F20+'Oct-Dec 2012'!F20+'Jan-Mar 2013'!F20+'Apr-Jun 2013'!F20</f>
        <v>2950</v>
      </c>
      <c r="G20" s="32">
        <f>F20/4432-1</f>
        <v>-0.33438628158844763</v>
      </c>
      <c r="H20" s="13">
        <f>'Jul-Sep 2012'!H20+'Oct-Dec 2012'!H20+'Jan-Mar 2013'!H20+'Apr-Jun 2013'!H20</f>
        <v>41</v>
      </c>
      <c r="I20" s="18"/>
      <c r="J20" s="18"/>
      <c r="K20" s="18"/>
      <c r="L20" s="18"/>
      <c r="M20" s="18"/>
      <c r="N20" s="18"/>
      <c r="O20" s="18"/>
    </row>
    <row r="21" spans="1:15" x14ac:dyDescent="0.2">
      <c r="A21" s="12" t="s">
        <v>26</v>
      </c>
      <c r="B21" s="13">
        <f>'Jul-Sep 2012'!B21+'Oct-Dec 2012'!B21+'Jan-Mar 2013'!B21+'Apr-Jun 2013'!B21</f>
        <v>2195</v>
      </c>
      <c r="C21" s="13">
        <f>'Jul-Sep 2012'!C21+'Oct-Dec 2012'!C21+'Jan-Mar 2013'!C21+'Apr-Jun 2013'!C21</f>
        <v>10118</v>
      </c>
      <c r="D21" s="13">
        <f>'Jul-Sep 2012'!D21+'Oct-Dec 2012'!D21+'Jan-Mar 2013'!D21+'Apr-Jun 2013'!D21</f>
        <v>1570</v>
      </c>
      <c r="E21" s="13">
        <f>'Jul-Sep 2012'!E21+'Oct-Dec 2012'!E21+'Jan-Mar 2013'!E21+'Apr-Jun 2013'!E21</f>
        <v>917</v>
      </c>
      <c r="F21" s="13">
        <f>'Jul-Sep 2012'!F21+'Oct-Dec 2012'!F21+'Jan-Mar 2013'!F21+'Apr-Jun 2013'!F21</f>
        <v>14800</v>
      </c>
      <c r="G21" s="32">
        <f>F21/16458-1</f>
        <v>-0.10074128083606759</v>
      </c>
      <c r="H21" s="13">
        <f>'Jul-Sep 2012'!H21+'Oct-Dec 2012'!H21+'Jan-Mar 2013'!H21+'Apr-Jun 2013'!H21</f>
        <v>741</v>
      </c>
      <c r="I21" s="18"/>
      <c r="J21" s="18"/>
      <c r="K21" s="18"/>
      <c r="L21" s="18"/>
      <c r="M21" s="18"/>
      <c r="N21" s="18"/>
      <c r="O21" s="18"/>
    </row>
    <row r="22" spans="1:15" s="5" customFormat="1" x14ac:dyDescent="0.2">
      <c r="A22" s="36" t="s">
        <v>25</v>
      </c>
      <c r="B22" s="34">
        <f>'Jul-Sep 2012'!B22+'Oct-Dec 2012'!B22+'Jan-Mar 2013'!B22+'Apr-Jun 2013'!B22</f>
        <v>86326</v>
      </c>
      <c r="C22" s="34">
        <f>'Jul-Sep 2012'!C22+'Oct-Dec 2012'!C22+'Jan-Mar 2013'!C22+'Apr-Jun 2013'!C22</f>
        <v>147947</v>
      </c>
      <c r="D22" s="34">
        <f>'Jul-Sep 2012'!D22+'Oct-Dec 2012'!D22+'Jan-Mar 2013'!D22+'Apr-Jun 2013'!D22</f>
        <v>19349</v>
      </c>
      <c r="E22" s="34">
        <f>'Jul-Sep 2012'!E22+'Oct-Dec 2012'!E22+'Jan-Mar 2013'!E22+'Apr-Jun 2013'!E22</f>
        <v>22689</v>
      </c>
      <c r="F22" s="34">
        <f>'Jul-Sep 2012'!F22+'Oct-Dec 2012'!F22+'Jan-Mar 2013'!F22+'Apr-Jun 2013'!F22</f>
        <v>276311</v>
      </c>
      <c r="G22" s="35">
        <f>F22/286304-1</f>
        <v>-3.49034592600872E-2</v>
      </c>
      <c r="H22" s="34">
        <f>'Jul-Sep 2012'!H22+'Oct-Dec 2012'!H22+'Jan-Mar 2013'!H22+'Apr-Jun 2013'!H22</f>
        <v>21805</v>
      </c>
      <c r="I22" s="18"/>
      <c r="J22" s="18"/>
      <c r="K22" s="18"/>
      <c r="L22" s="18"/>
      <c r="M22" s="18"/>
      <c r="N22" s="18"/>
      <c r="O22" s="18"/>
    </row>
    <row r="23" spans="1:15" s="26" customFormat="1" x14ac:dyDescent="0.2">
      <c r="A23" s="25"/>
      <c r="B23" s="13"/>
      <c r="C23" s="20"/>
      <c r="D23" s="20"/>
      <c r="E23" s="20"/>
      <c r="F23" s="20"/>
      <c r="G23" s="24"/>
      <c r="H23" s="20"/>
      <c r="I23" s="18"/>
      <c r="J23" s="18"/>
      <c r="K23" s="18"/>
      <c r="L23" s="18"/>
      <c r="M23" s="18"/>
      <c r="N23" s="18"/>
      <c r="O23" s="18"/>
    </row>
    <row r="24" spans="1:15" s="26" customFormat="1" x14ac:dyDescent="0.2">
      <c r="A24" s="25" t="s">
        <v>36</v>
      </c>
      <c r="B24" s="13"/>
      <c r="C24" s="20"/>
      <c r="D24" s="20"/>
      <c r="E24" s="20"/>
      <c r="F24" s="20"/>
      <c r="G24" s="24"/>
      <c r="H24" s="20"/>
      <c r="I24" s="18"/>
      <c r="J24" s="18"/>
      <c r="K24" s="18"/>
      <c r="L24" s="18"/>
      <c r="M24" s="18"/>
      <c r="N24" s="18"/>
      <c r="O24" s="18"/>
    </row>
    <row r="25" spans="1:15" x14ac:dyDescent="0.2">
      <c r="A25" s="12" t="s">
        <v>29</v>
      </c>
      <c r="B25" s="13">
        <f>'Jul-Sep 2012'!B25+'Oct-Dec 2012'!B25+'Jan-Mar 2013'!B25+'Apr-Jun 2013'!B25</f>
        <v>15655</v>
      </c>
      <c r="C25" s="13">
        <f>'Jul-Sep 2012'!C25+'Oct-Dec 2012'!C25+'Jan-Mar 2013'!C25+'Apr-Jun 2013'!C25</f>
        <v>69373</v>
      </c>
      <c r="D25" s="13">
        <f>'Jul-Sep 2012'!D25+'Oct-Dec 2012'!D25+'Jan-Mar 2013'!D25+'Apr-Jun 2013'!D25</f>
        <v>1839</v>
      </c>
      <c r="E25" s="13">
        <f>'Jul-Sep 2012'!E25+'Oct-Dec 2012'!E25+'Jan-Mar 2013'!E25+'Apr-Jun 2013'!E25</f>
        <v>3155</v>
      </c>
      <c r="F25" s="13">
        <f>'Jul-Sep 2012'!F25+'Oct-Dec 2012'!F25+'Jan-Mar 2013'!F25+'Apr-Jun 2013'!F25</f>
        <v>90022</v>
      </c>
      <c r="G25" s="32">
        <f>F25/106634-1</f>
        <v>-0.15578520922032368</v>
      </c>
      <c r="H25" s="13">
        <f>'Jul-Sep 2012'!H25+'Oct-Dec 2012'!H25+'Jan-Mar 2013'!H25+'Apr-Jun 2013'!H25</f>
        <v>6308</v>
      </c>
      <c r="I25" s="18"/>
      <c r="J25" s="18"/>
      <c r="K25" s="18"/>
      <c r="L25" s="18"/>
      <c r="M25" s="18"/>
      <c r="N25" s="18"/>
      <c r="O25" s="18"/>
    </row>
    <row r="26" spans="1:15" x14ac:dyDescent="0.2">
      <c r="A26" s="12" t="s">
        <v>23</v>
      </c>
      <c r="B26" s="13">
        <f>'Jul-Sep 2012'!B26+'Oct-Dec 2012'!B26+'Jan-Mar 2013'!B26+'Apr-Jun 2013'!B26</f>
        <v>6830</v>
      </c>
      <c r="C26" s="13">
        <f>'Jul-Sep 2012'!C26+'Oct-Dec 2012'!C26+'Jan-Mar 2013'!C26+'Apr-Jun 2013'!C26</f>
        <v>19911</v>
      </c>
      <c r="D26" s="13">
        <f>'Jul-Sep 2012'!D26+'Oct-Dec 2012'!D26+'Jan-Mar 2013'!D26+'Apr-Jun 2013'!D26</f>
        <v>608</v>
      </c>
      <c r="E26" s="13">
        <f>'Jul-Sep 2012'!E26+'Oct-Dec 2012'!E26+'Jan-Mar 2013'!E26+'Apr-Jun 2013'!E26</f>
        <v>20517</v>
      </c>
      <c r="F26" s="13">
        <f>'Jul-Sep 2012'!F26+'Oct-Dec 2012'!F26+'Jan-Mar 2013'!F26+'Apr-Jun 2013'!F26</f>
        <v>47866</v>
      </c>
      <c r="G26" s="32">
        <f>F26/47491-1</f>
        <v>7.8962329704574952E-3</v>
      </c>
      <c r="H26" s="13">
        <f>'Jul-Sep 2012'!H26+'Oct-Dec 2012'!H26+'Jan-Mar 2013'!H26+'Apr-Jun 2013'!H26</f>
        <v>3829</v>
      </c>
      <c r="I26" s="18"/>
      <c r="J26" s="18"/>
      <c r="K26" s="18"/>
      <c r="L26" s="18"/>
      <c r="M26" s="18"/>
      <c r="N26" s="18"/>
      <c r="O26" s="18"/>
    </row>
    <row r="27" spans="1:15" x14ac:dyDescent="0.2">
      <c r="A27" s="12" t="s">
        <v>28</v>
      </c>
      <c r="B27" s="13">
        <f>'Jul-Sep 2012'!B27+'Oct-Dec 2012'!B27+'Jan-Mar 2013'!B27+'Apr-Jun 2013'!B27</f>
        <v>39875</v>
      </c>
      <c r="C27" s="13">
        <f>'Jul-Sep 2012'!C27+'Oct-Dec 2012'!C27+'Jan-Mar 2013'!C27+'Apr-Jun 2013'!C27</f>
        <v>100282</v>
      </c>
      <c r="D27" s="13">
        <f>'Jul-Sep 2012'!D27+'Oct-Dec 2012'!D27+'Jan-Mar 2013'!D27+'Apr-Jun 2013'!D27</f>
        <v>3723</v>
      </c>
      <c r="E27" s="13">
        <f>'Jul-Sep 2012'!E27+'Oct-Dec 2012'!E27+'Jan-Mar 2013'!E27+'Apr-Jun 2013'!E27</f>
        <v>3</v>
      </c>
      <c r="F27" s="13">
        <f>'Jul-Sep 2012'!F27+'Oct-Dec 2012'!F27+'Jan-Mar 2013'!F27+'Apr-Jun 2013'!F27</f>
        <v>143883</v>
      </c>
      <c r="G27" s="32">
        <f>F27/164830-1</f>
        <v>-0.12708244858338891</v>
      </c>
      <c r="H27" s="13">
        <f>'Jul-Sep 2012'!H27+'Oct-Dec 2012'!H27+'Jan-Mar 2013'!H27+'Apr-Jun 2013'!H27</f>
        <v>16213</v>
      </c>
      <c r="I27" s="18"/>
      <c r="J27" s="18"/>
      <c r="K27" s="18"/>
      <c r="L27" s="18"/>
      <c r="M27" s="18"/>
      <c r="N27" s="18"/>
      <c r="O27" s="18"/>
    </row>
    <row r="28" spans="1:15" x14ac:dyDescent="0.2">
      <c r="A28" s="17" t="s">
        <v>27</v>
      </c>
      <c r="B28" s="13">
        <f>'Jul-Sep 2012'!B28+'Oct-Dec 2012'!B28+'Jan-Mar 2013'!B28+'Apr-Jun 2013'!B28</f>
        <v>43225</v>
      </c>
      <c r="C28" s="13">
        <f>'Jul-Sep 2012'!C28+'Oct-Dec 2012'!C28+'Jan-Mar 2013'!C28+'Apr-Jun 2013'!C28</f>
        <v>100618</v>
      </c>
      <c r="D28" s="13">
        <f>'Jul-Sep 2012'!D28+'Oct-Dec 2012'!D28+'Jan-Mar 2013'!D28+'Apr-Jun 2013'!D28</f>
        <v>37615</v>
      </c>
      <c r="E28" s="13">
        <f>'Jul-Sep 2012'!E28+'Oct-Dec 2012'!E28+'Jan-Mar 2013'!E28+'Apr-Jun 2013'!E28</f>
        <v>4222</v>
      </c>
      <c r="F28" s="13">
        <f>'Jul-Sep 2012'!F28+'Oct-Dec 2012'!F28+'Jan-Mar 2013'!F28+'Apr-Jun 2013'!F28</f>
        <v>185680</v>
      </c>
      <c r="G28" s="32">
        <f>F28/243182-1</f>
        <v>-0.23645664563989111</v>
      </c>
      <c r="H28" s="13">
        <f>'Jul-Sep 2012'!H28+'Oct-Dec 2012'!H28+'Jan-Mar 2013'!H28+'Apr-Jun 2013'!H28</f>
        <v>18682</v>
      </c>
      <c r="I28" s="18"/>
      <c r="J28" s="18"/>
      <c r="K28" s="18"/>
      <c r="L28" s="18"/>
      <c r="M28" s="18"/>
      <c r="N28" s="18"/>
      <c r="O28" s="18"/>
    </row>
    <row r="29" spans="1:15" x14ac:dyDescent="0.2">
      <c r="A29" s="31"/>
      <c r="B29" s="13"/>
      <c r="C29" s="31"/>
      <c r="D29" s="31"/>
      <c r="E29" s="31"/>
      <c r="F29" s="31"/>
      <c r="G29" s="32"/>
      <c r="H29" s="31"/>
    </row>
    <row r="30" spans="1:15" s="5" customFormat="1" x14ac:dyDescent="0.2">
      <c r="A30" s="37" t="s">
        <v>14</v>
      </c>
      <c r="B30" s="34">
        <f>'Jul-Sep 2012'!B30+'Oct-Dec 2012'!B30+'Jan-Mar 2013'!B30+'Apr-Jun 2013'!B30</f>
        <v>373216</v>
      </c>
      <c r="C30" s="34">
        <f>'Jul-Sep 2012'!C30+'Oct-Dec 2012'!C30+'Jan-Mar 2013'!C30+'Apr-Jun 2013'!C30</f>
        <v>1061432</v>
      </c>
      <c r="D30" s="34">
        <f>'Jul-Sep 2012'!D30+'Oct-Dec 2012'!D30+'Jan-Mar 2013'!D30+'Apr-Jun 2013'!D30</f>
        <v>64555</v>
      </c>
      <c r="E30" s="34">
        <f>'Jul-Sep 2012'!E30+'Oct-Dec 2012'!E30+'Jan-Mar 2013'!E30+'Apr-Jun 2013'!E30</f>
        <v>172353</v>
      </c>
      <c r="F30" s="34">
        <f>'Jul-Sep 2012'!F30+'Oct-Dec 2012'!F30+'Jan-Mar 2013'!F30+'Apr-Jun 2013'!F30</f>
        <v>1671556</v>
      </c>
      <c r="G30" s="35">
        <f>F30/1837696-1</f>
        <v>-9.0406683151076139E-2</v>
      </c>
      <c r="H30" s="34">
        <f>'Jul-Sep 2012'!H30+'Oct-Dec 2012'!H30+'Jan-Mar 2013'!H30+'Apr-Jun 2013'!H30</f>
        <v>146023</v>
      </c>
      <c r="I30" s="18"/>
      <c r="J30" s="18"/>
      <c r="K30" s="18"/>
      <c r="L30" s="18"/>
      <c r="M30" s="18"/>
      <c r="N30" s="18"/>
      <c r="O30" s="18"/>
    </row>
    <row r="31" spans="1:15" x14ac:dyDescent="0.2">
      <c r="A31" s="12"/>
      <c r="B31" s="13"/>
      <c r="C31" s="1"/>
      <c r="D31" s="1"/>
      <c r="E31" s="1"/>
      <c r="F31" s="20"/>
      <c r="G31" s="24"/>
      <c r="H31" s="1"/>
      <c r="I31" s="18"/>
      <c r="J31" s="18"/>
      <c r="K31" s="18"/>
      <c r="L31" s="18"/>
      <c r="M31" s="18"/>
      <c r="N31" s="18"/>
      <c r="O31" s="18"/>
    </row>
    <row r="32" spans="1:15" x14ac:dyDescent="0.2">
      <c r="A32" s="12" t="s">
        <v>15</v>
      </c>
      <c r="B32" s="13"/>
      <c r="C32" s="13"/>
      <c r="D32" s="13">
        <f>'Jul-Sep 2012'!D32+'Oct-Dec 2012'!D32+'Jan-Mar 2013'!D32+'Apr-Jun 2013'!D32</f>
        <v>312760</v>
      </c>
      <c r="E32" s="13"/>
      <c r="F32" s="13">
        <f>'Jul-Sep 2012'!F32+'Oct-Dec 2012'!F32+'Jan-Mar 2013'!F32+'Apr-Jun 2013'!F32</f>
        <v>312760</v>
      </c>
      <c r="G32" s="32">
        <f>F32/433379-1</f>
        <v>-0.2783222075827394</v>
      </c>
      <c r="H32" s="13">
        <f>'Jul-Sep 2012'!H32+'Oct-Dec 2012'!H32+'Jan-Mar 2013'!H32+'Apr-Jun 2013'!H32</f>
        <v>0</v>
      </c>
      <c r="I32" s="18"/>
      <c r="J32" s="18"/>
      <c r="K32" s="18"/>
      <c r="L32" s="18"/>
      <c r="M32" s="18"/>
      <c r="N32" s="18"/>
      <c r="O32" s="18"/>
    </row>
    <row r="33" spans="1:15" x14ac:dyDescent="0.2">
      <c r="A33" s="12"/>
      <c r="B33" s="13"/>
      <c r="C33" s="17"/>
      <c r="D33" s="17"/>
      <c r="E33" s="17"/>
      <c r="F33" s="20"/>
      <c r="G33" s="32"/>
      <c r="H33" s="17"/>
      <c r="I33" s="18"/>
      <c r="J33" s="18"/>
      <c r="K33" s="18"/>
      <c r="L33" s="18"/>
      <c r="M33" s="18"/>
      <c r="N33" s="18"/>
      <c r="O33" s="18"/>
    </row>
    <row r="34" spans="1:15" x14ac:dyDescent="0.2">
      <c r="A34" s="12" t="s">
        <v>16</v>
      </c>
      <c r="B34" s="13">
        <f>'Jul-Sep 2012'!B34+'Oct-Dec 2012'!B34+'Jan-Mar 2013'!B34+'Apr-Jun 2013'!B34</f>
        <v>38590</v>
      </c>
      <c r="C34" s="13">
        <f>'Jul-Sep 2012'!C34+'Oct-Dec 2012'!C34+'Jan-Mar 2013'!C34+'Apr-Jun 2013'!C34</f>
        <v>85718</v>
      </c>
      <c r="D34" s="13">
        <f>'Jul-Sep 2012'!D34+'Oct-Dec 2012'!D34+'Jan-Mar 2013'!D34+'Apr-Jun 2013'!D34</f>
        <v>7911</v>
      </c>
      <c r="E34" s="13">
        <f>'Jul-Sep 2012'!E34+'Oct-Dec 2012'!E34+'Jan-Mar 2013'!E34+'Apr-Jun 2013'!E34</f>
        <v>7730</v>
      </c>
      <c r="F34" s="13">
        <f>'Jul-Sep 2012'!F34+'Oct-Dec 2012'!F34+'Jan-Mar 2013'!F34+'Apr-Jun 2013'!F34</f>
        <v>139949</v>
      </c>
      <c r="G34" s="32">
        <f>F34/144331-1</f>
        <v>-3.0360767956987722E-2</v>
      </c>
      <c r="H34" s="13">
        <f>'Jul-Sep 2012'!H34+'Oct-Dec 2012'!H34+'Jan-Mar 2013'!H34+'Apr-Jun 2013'!H34</f>
        <v>21250</v>
      </c>
      <c r="I34" s="18"/>
      <c r="J34" s="18"/>
      <c r="K34" s="18"/>
      <c r="L34" s="18"/>
      <c r="M34" s="18"/>
      <c r="N34" s="18"/>
      <c r="O34" s="18"/>
    </row>
    <row r="35" spans="1:15" x14ac:dyDescent="0.2">
      <c r="A35" s="12" t="s">
        <v>17</v>
      </c>
      <c r="B35" s="13"/>
      <c r="C35" s="13"/>
      <c r="D35" s="13">
        <f>'Jul-Sep 2012'!D35+'Oct-Dec 2012'!D35+'Jan-Mar 2013'!D35+'Apr-Jun 2013'!D35</f>
        <v>224360</v>
      </c>
      <c r="E35" s="13"/>
      <c r="F35" s="13">
        <f>'Jul-Sep 2012'!F35+'Oct-Dec 2012'!F35+'Jan-Mar 2013'!F35+'Apr-Jun 2013'!F35</f>
        <v>224360</v>
      </c>
      <c r="G35" s="32">
        <f>F35/231877-1</f>
        <v>-3.2418049224373302E-2</v>
      </c>
      <c r="H35" s="13">
        <f>'Jul-Sep 2012'!H35+'Oct-Dec 2012'!H35+'Jan-Mar 2013'!H35+'Apr-Jun 2013'!H35</f>
        <v>0</v>
      </c>
      <c r="I35" s="18"/>
      <c r="J35" s="18"/>
      <c r="K35" s="18"/>
      <c r="L35" s="18"/>
      <c r="M35" s="18"/>
      <c r="N35" s="18"/>
      <c r="O35" s="18"/>
    </row>
    <row r="36" spans="1:15" x14ac:dyDescent="0.2">
      <c r="A36" s="12"/>
      <c r="B36" s="13"/>
      <c r="C36" s="17"/>
      <c r="D36" s="17"/>
      <c r="E36" s="17"/>
      <c r="F36" s="20"/>
      <c r="G36" s="32"/>
      <c r="H36" s="17"/>
      <c r="I36" s="18"/>
      <c r="J36" s="18"/>
      <c r="K36" s="18"/>
      <c r="L36" s="18"/>
      <c r="M36" s="18"/>
      <c r="N36" s="18"/>
      <c r="O36" s="18"/>
    </row>
    <row r="37" spans="1:15" x14ac:dyDescent="0.2">
      <c r="A37" s="12" t="s">
        <v>18</v>
      </c>
      <c r="B37" s="13">
        <f>'Jul-Sep 2012'!B37+'Oct-Dec 2012'!B37+'Jan-Mar 2013'!B37+'Apr-Jun 2013'!B37</f>
        <v>24158</v>
      </c>
      <c r="C37" s="13">
        <f>'Jul-Sep 2012'!C37+'Oct-Dec 2012'!C37+'Jan-Mar 2013'!C37+'Apr-Jun 2013'!C37</f>
        <v>70633</v>
      </c>
      <c r="D37" s="13">
        <f>'Jul-Sep 2012'!D37+'Oct-Dec 2012'!D37+'Jan-Mar 2013'!D37+'Apr-Jun 2013'!D37</f>
        <v>1945</v>
      </c>
      <c r="E37" s="13">
        <f>'Jul-Sep 2012'!E37+'Oct-Dec 2012'!E37+'Jan-Mar 2013'!E37+'Apr-Jun 2013'!E37</f>
        <v>4962</v>
      </c>
      <c r="F37" s="13">
        <f>'Jul-Sep 2012'!F37+'Oct-Dec 2012'!F37+'Jan-Mar 2013'!F37+'Apr-Jun 2013'!F37</f>
        <v>101698</v>
      </c>
      <c r="G37" s="32">
        <f>F37/114913-1</f>
        <v>-0.11500004351117799</v>
      </c>
      <c r="H37" s="13">
        <f>'Jul-Sep 2012'!H41+'Oct-Dec 2012'!H37+'Jan-Mar 2013'!H37+'Apr-Jun 2013'!H37</f>
        <v>15140</v>
      </c>
      <c r="I37" s="18"/>
      <c r="J37" s="18"/>
      <c r="K37" s="18"/>
      <c r="L37" s="18"/>
      <c r="M37" s="18"/>
      <c r="N37" s="18"/>
      <c r="O37" s="18"/>
    </row>
    <row r="38" spans="1:15" x14ac:dyDescent="0.2">
      <c r="A38" s="12" t="s">
        <v>19</v>
      </c>
      <c r="B38" s="13"/>
      <c r="C38" s="13"/>
      <c r="D38" s="13">
        <f>'Jul-Sep 2012'!D38+'Oct-Dec 2012'!D38+'Jan-Mar 2013'!D38+'Apr-Jun 2013'!D38</f>
        <v>68348</v>
      </c>
      <c r="E38" s="13"/>
      <c r="F38" s="13">
        <f>'Jul-Sep 2012'!F38+'Oct-Dec 2012'!F38+'Jan-Mar 2013'!F38+'Apr-Jun 2013'!F38</f>
        <v>68348</v>
      </c>
      <c r="G38" s="32">
        <f>F38/56093-1</f>
        <v>0.2184764587381669</v>
      </c>
      <c r="H38" s="13">
        <v>0</v>
      </c>
      <c r="I38" s="18"/>
      <c r="J38" s="18"/>
      <c r="K38" s="18"/>
      <c r="L38" s="18"/>
      <c r="M38" s="18"/>
      <c r="N38" s="18"/>
      <c r="O38" s="18"/>
    </row>
    <row r="39" spans="1:15" x14ac:dyDescent="0.2">
      <c r="A39" s="12"/>
      <c r="B39" s="13"/>
      <c r="C39" s="13"/>
      <c r="D39" s="13"/>
      <c r="E39" s="13"/>
      <c r="F39" s="13"/>
      <c r="G39" s="32"/>
      <c r="H39" s="13"/>
      <c r="I39" s="18"/>
      <c r="J39" s="18"/>
      <c r="K39" s="18"/>
      <c r="L39" s="18"/>
      <c r="M39" s="18"/>
      <c r="N39" s="18"/>
      <c r="O39" s="18"/>
    </row>
    <row r="40" spans="1:15" x14ac:dyDescent="0.2">
      <c r="A40" s="12" t="s">
        <v>42</v>
      </c>
      <c r="B40" s="13"/>
      <c r="C40" s="13"/>
      <c r="D40" s="13">
        <f>'Jul-Sep 2012'!D40+'Oct-Dec 2012'!D40+'Jan-Mar 2013'!D40+'Apr-Jun 2013'!D40</f>
        <v>187054</v>
      </c>
      <c r="E40" s="13"/>
      <c r="F40" s="13">
        <f>'Jul-Sep 2012'!F40+'Oct-Dec 2012'!F40+'Jan-Mar 2013'!F40+'Apr-Jun 2013'!F40</f>
        <v>187054</v>
      </c>
      <c r="G40" s="32">
        <f>F40/253306-1</f>
        <v>-0.26154927242149806</v>
      </c>
      <c r="H40" s="13"/>
      <c r="I40" s="18"/>
      <c r="J40" s="18"/>
      <c r="K40" s="18"/>
      <c r="L40" s="18"/>
      <c r="M40" s="18"/>
      <c r="N40" s="18"/>
      <c r="O40" s="18"/>
    </row>
    <row r="41" spans="1:15" x14ac:dyDescent="0.2">
      <c r="A41" s="31"/>
      <c r="B41" s="13"/>
      <c r="C41" s="13"/>
      <c r="D41" s="31"/>
      <c r="E41" s="31"/>
      <c r="F41" s="13"/>
      <c r="G41" s="31"/>
      <c r="H41" s="31"/>
      <c r="I41" s="18"/>
      <c r="J41" s="18"/>
      <c r="K41" s="18"/>
      <c r="L41" s="18"/>
      <c r="M41" s="18"/>
      <c r="N41" s="18"/>
      <c r="O41" s="18"/>
    </row>
    <row r="42" spans="1:15" x14ac:dyDescent="0.2">
      <c r="A42" s="45" t="s">
        <v>39</v>
      </c>
      <c r="B42" s="13">
        <f>'Jul-Sep 2012'!B42+'Oct-Dec 2012'!B42+'Jan-Mar 2013'!B42+'Apr-Jun 2013'!B42</f>
        <v>34478</v>
      </c>
      <c r="C42" s="13">
        <f>'Jul-Sep 2012'!C42+'Oct-Dec 2012'!C42+'Jan-Mar 2013'!C42+'Apr-Jun 2013'!C42</f>
        <v>99</v>
      </c>
      <c r="D42" s="31">
        <v>0</v>
      </c>
      <c r="E42" s="31">
        <v>0</v>
      </c>
      <c r="F42" s="13">
        <f>'Jul-Sep 2012'!F42+'Oct-Dec 2012'!F42+'Jan-Mar 2013'!F42+'Apr-Jun 2013'!F42</f>
        <v>34581</v>
      </c>
      <c r="G42" s="48">
        <f>F42/37162-1</f>
        <v>-6.9452666702545574E-2</v>
      </c>
      <c r="H42" s="31">
        <v>0</v>
      </c>
    </row>
  </sheetData>
  <sheetProtection password="CC4F" sheet="1" objects="1" scenarios="1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STATISTICS&amp;C&amp;"Arial,Bold"&amp;14Annual 2012- 2013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Jul-Sep 2012</vt:lpstr>
      <vt:lpstr>Oct-Dec 2012</vt:lpstr>
      <vt:lpstr>Jan-Mar 2013</vt:lpstr>
      <vt:lpstr>Apr-Jun 2013</vt:lpstr>
      <vt:lpstr>Annual 2013</vt:lpstr>
      <vt:lpstr>'Annual 2013'!Print_Area</vt:lpstr>
      <vt:lpstr>'Apr-Jun 2013'!Print_Area</vt:lpstr>
      <vt:lpstr>'Jan-Mar 2013'!Print_Area</vt:lpstr>
      <vt:lpstr>'Jul-Sep 2012'!Print_Area</vt:lpstr>
      <vt:lpstr>'Oct-Dec 2012'!Print_Area</vt:lpstr>
    </vt:vector>
  </TitlesOfParts>
  <Company>University of Washington Libraries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 Deardorff</dc:creator>
  <cp:lastModifiedBy>Administrator</cp:lastModifiedBy>
  <cp:lastPrinted>2013-08-29T20:49:14Z</cp:lastPrinted>
  <dcterms:created xsi:type="dcterms:W3CDTF">2005-09-27T21:59:03Z</dcterms:created>
  <dcterms:modified xsi:type="dcterms:W3CDTF">2014-10-02T21:35:46Z</dcterms:modified>
</cp:coreProperties>
</file>